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sovcombank.group\fs\msk\New-Ipoteka\Отчеты\Партнеры\Юля\Юля\ПРАВИЛА\СТАНДАРТ\"/>
    </mc:Choice>
  </mc:AlternateContent>
  <workbookProtection workbookAlgorithmName="SHA-512" workbookHashValue="BCVYealHYTGKFTWMopU7nkqujsC4X24JrbWbF0Uadg2BmEOm6F/CCGssI7/7e0oyJ5FHgUR1zqydk4h15pthcg==" workbookSaltValue="RHlhhdsa2HjoYvtC/rAaOg==" workbookSpinCount="100000" lockStructure="1"/>
  <bookViews>
    <workbookView xWindow="0" yWindow="0" windowWidth="28800" windowHeight="12300" tabRatio="919" firstSheet="2" activeTab="3"/>
  </bookViews>
  <sheets>
    <sheet name="тарифы" sheetId="3" state="hidden" r:id="rId1"/>
    <sheet name="данные" sheetId="2" state="hidden" r:id="rId2"/>
    <sheet name="Калькулятор" sheetId="1" r:id="rId3"/>
    <sheet name="Снижение ставки" sheetId="4" r:id="rId4"/>
  </sheets>
  <definedNames>
    <definedName name="_xlnm._FilterDatabase" localSheetId="0" hidden="1">тарифы!$A$1:$AS$35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2" i="1"/>
  <c r="K31" i="1"/>
  <c r="J37" i="1" l="1"/>
  <c r="J11" i="1"/>
  <c r="O8" i="1" l="1"/>
  <c r="O6" i="1"/>
  <c r="H34" i="1" l="1"/>
  <c r="H33" i="1"/>
  <c r="H39" i="1"/>
  <c r="H38" i="1"/>
  <c r="H18" i="1" s="1"/>
  <c r="H36" i="1"/>
  <c r="O20" i="1" l="1"/>
  <c r="O21" i="1" s="1"/>
  <c r="J26" i="1"/>
  <c r="O23" i="1" l="1"/>
  <c r="O22" i="1"/>
  <c r="K8" i="1" l="1"/>
  <c r="K12" i="1"/>
  <c r="J13" i="1"/>
  <c r="C7" i="1" s="1"/>
  <c r="J14" i="1" l="1"/>
  <c r="D16" i="4" l="1"/>
  <c r="O7" i="1" l="1"/>
  <c r="O16" i="1"/>
  <c r="O13" i="1"/>
  <c r="O15" i="1" s="1"/>
  <c r="O12" i="1"/>
  <c r="K23" i="1" l="1"/>
  <c r="K25" i="1"/>
  <c r="K11" i="1"/>
  <c r="K10" i="1"/>
  <c r="H37" i="1"/>
  <c r="H29" i="1"/>
  <c r="O17" i="1"/>
  <c r="O18" i="1" s="1"/>
  <c r="O14" i="1"/>
  <c r="O19" i="1" l="1"/>
  <c r="O9" i="1" s="1"/>
  <c r="I4" i="4" l="1"/>
  <c r="D19" i="4" l="1"/>
  <c r="D18" i="4"/>
  <c r="D17" i="4"/>
  <c r="O11" i="1" l="1"/>
  <c r="J15" i="1" s="1"/>
  <c r="E19" i="4" l="1"/>
  <c r="E18" i="4"/>
  <c r="E17" i="4"/>
  <c r="E16" i="4"/>
  <c r="D15" i="4"/>
  <c r="D20" i="4" l="1"/>
  <c r="E20" i="4" l="1"/>
  <c r="E15" i="4"/>
  <c r="C182" i="2" l="1"/>
  <c r="C181" i="2"/>
  <c r="C180" i="2"/>
  <c r="C179" i="2"/>
  <c r="C178" i="2"/>
  <c r="C177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0" i="2"/>
  <c r="C149" i="2"/>
  <c r="C148" i="2"/>
  <c r="C147" i="2"/>
  <c r="C146" i="2"/>
  <c r="C145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8" i="2"/>
  <c r="C117" i="2"/>
  <c r="C116" i="2"/>
  <c r="C115" i="2"/>
  <c r="C114" i="2"/>
  <c r="C113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6" i="2"/>
  <c r="C85" i="2"/>
  <c r="C84" i="2"/>
  <c r="C83" i="2"/>
  <c r="C82" i="2"/>
  <c r="C81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4" i="2"/>
  <c r="C53" i="2"/>
  <c r="C52" i="2"/>
  <c r="C51" i="2"/>
  <c r="C50" i="2"/>
  <c r="C49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4" i="2" l="1"/>
  <c r="C3" i="2"/>
  <c r="C6" i="2" l="1"/>
  <c r="C5" i="2"/>
  <c r="C2" i="2"/>
  <c r="E11" i="4" l="1"/>
  <c r="H35" i="1" l="1"/>
  <c r="H31" i="1"/>
  <c r="H30" i="1"/>
  <c r="H32" i="1"/>
  <c r="E7" i="4" l="1"/>
  <c r="E6" i="4"/>
  <c r="A14" i="4" l="1"/>
  <c r="A11" i="4"/>
  <c r="A12" i="4" s="1"/>
  <c r="A13" i="4" l="1"/>
  <c r="F20" i="4" s="1"/>
  <c r="A15" i="4"/>
  <c r="F5" i="4" s="1"/>
  <c r="F19" i="4" l="1"/>
  <c r="C21" i="4"/>
  <c r="B21" i="4"/>
  <c r="F16" i="4" l="1"/>
  <c r="G16" i="4" s="1"/>
  <c r="G20" i="4"/>
  <c r="H19" i="4"/>
  <c r="H20" i="4"/>
  <c r="F17" i="4"/>
  <c r="G17" i="4" s="1"/>
  <c r="F15" i="4"/>
  <c r="H15" i="4" s="1"/>
  <c r="F18" i="4"/>
  <c r="H18" i="4" s="1"/>
  <c r="H16" i="4" l="1"/>
  <c r="G19" i="4"/>
  <c r="H17" i="4"/>
  <c r="G15" i="4"/>
  <c r="G18" i="4"/>
  <c r="J27" i="1" l="1"/>
  <c r="J36" i="1" l="1"/>
  <c r="J18" i="1" l="1"/>
  <c r="J34" i="1"/>
  <c r="O5" i="1" s="1"/>
  <c r="J35" i="1" l="1"/>
  <c r="J38" i="1" s="1"/>
  <c r="J39" i="1" l="1"/>
  <c r="E8" i="1"/>
  <c r="E32" i="1"/>
  <c r="F32" i="1"/>
  <c r="D32" i="1" l="1"/>
  <c r="F8" i="1" l="1"/>
  <c r="D8" i="1" s="1"/>
  <c r="F10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9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12" i="1"/>
  <c r="F28" i="1"/>
  <c r="F44" i="1"/>
  <c r="F60" i="1"/>
  <c r="F76" i="1"/>
  <c r="F92" i="1"/>
  <c r="F108" i="1"/>
  <c r="F124" i="1"/>
  <c r="F140" i="1"/>
  <c r="F156" i="1"/>
  <c r="F172" i="1"/>
  <c r="F188" i="1"/>
  <c r="F204" i="1"/>
  <c r="F220" i="1"/>
  <c r="F236" i="1"/>
  <c r="F252" i="1"/>
  <c r="F268" i="1"/>
  <c r="F284" i="1"/>
  <c r="F296" i="1"/>
  <c r="F304" i="1"/>
  <c r="F312" i="1"/>
  <c r="F320" i="1"/>
  <c r="F328" i="1"/>
  <c r="F336" i="1"/>
  <c r="F344" i="1"/>
  <c r="F350" i="1"/>
  <c r="F354" i="1"/>
  <c r="F358" i="1"/>
  <c r="F362" i="1"/>
  <c r="F366" i="1"/>
  <c r="F363" i="1"/>
  <c r="F40" i="1"/>
  <c r="F88" i="1"/>
  <c r="F104" i="1"/>
  <c r="F152" i="1"/>
  <c r="F200" i="1"/>
  <c r="F248" i="1"/>
  <c r="F293" i="1"/>
  <c r="F325" i="1"/>
  <c r="F349" i="1"/>
  <c r="F361" i="1"/>
  <c r="F16" i="1"/>
  <c r="F48" i="1"/>
  <c r="F64" i="1"/>
  <c r="F80" i="1"/>
  <c r="F96" i="1"/>
  <c r="F112" i="1"/>
  <c r="F128" i="1"/>
  <c r="F144" i="1"/>
  <c r="F160" i="1"/>
  <c r="F176" i="1"/>
  <c r="F192" i="1"/>
  <c r="F208" i="1"/>
  <c r="F224" i="1"/>
  <c r="F240" i="1"/>
  <c r="F256" i="1"/>
  <c r="F272" i="1"/>
  <c r="F288" i="1"/>
  <c r="F297" i="1"/>
  <c r="F305" i="1"/>
  <c r="F313" i="1"/>
  <c r="F321" i="1"/>
  <c r="F329" i="1"/>
  <c r="F337" i="1"/>
  <c r="F345" i="1"/>
  <c r="F351" i="1"/>
  <c r="F355" i="1"/>
  <c r="F359" i="1"/>
  <c r="F367" i="1"/>
  <c r="F56" i="1"/>
  <c r="F136" i="1"/>
  <c r="F184" i="1"/>
  <c r="F232" i="1"/>
  <c r="F280" i="1"/>
  <c r="F309" i="1"/>
  <c r="F333" i="1"/>
  <c r="F353" i="1"/>
  <c r="F36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0" i="1"/>
  <c r="F308" i="1"/>
  <c r="F316" i="1"/>
  <c r="F324" i="1"/>
  <c r="F332" i="1"/>
  <c r="F340" i="1"/>
  <c r="F348" i="1"/>
  <c r="F352" i="1"/>
  <c r="F356" i="1"/>
  <c r="F360" i="1"/>
  <c r="F364" i="1"/>
  <c r="F24" i="1"/>
  <c r="F72" i="1"/>
  <c r="F120" i="1"/>
  <c r="F168" i="1"/>
  <c r="F216" i="1"/>
  <c r="F264" i="1"/>
  <c r="F301" i="1"/>
  <c r="F317" i="1"/>
  <c r="F341" i="1"/>
  <c r="F357" i="1"/>
  <c r="E292" i="1"/>
  <c r="E180" i="1"/>
  <c r="E58" i="1"/>
  <c r="E263" i="1"/>
  <c r="E166" i="1"/>
  <c r="E174" i="1"/>
  <c r="E18" i="1"/>
  <c r="E265" i="1"/>
  <c r="E198" i="1"/>
  <c r="E177" i="1"/>
  <c r="E226" i="1"/>
  <c r="E42" i="1"/>
  <c r="E67" i="1"/>
  <c r="E146" i="1"/>
  <c r="E354" i="1"/>
  <c r="E11" i="1"/>
  <c r="E132" i="1"/>
  <c r="E262" i="1"/>
  <c r="E188" i="1"/>
  <c r="E33" i="1"/>
  <c r="E19" i="1"/>
  <c r="E80" i="1"/>
  <c r="E40" i="1"/>
  <c r="E9" i="1"/>
  <c r="E363" i="1"/>
  <c r="E113" i="1"/>
  <c r="E82" i="1"/>
  <c r="E69" i="1"/>
  <c r="E280" i="1"/>
  <c r="E81" i="1"/>
  <c r="E300" i="1"/>
  <c r="E246" i="1"/>
  <c r="E234" i="1"/>
  <c r="E93" i="1"/>
  <c r="E41" i="1"/>
  <c r="E122" i="1"/>
  <c r="E334" i="1"/>
  <c r="E39" i="1"/>
  <c r="E114" i="1"/>
  <c r="E63" i="1"/>
  <c r="E127" i="1"/>
  <c r="E264" i="1"/>
  <c r="E76" i="1"/>
  <c r="E220" i="1"/>
  <c r="E148" i="1"/>
  <c r="E56" i="1"/>
  <c r="E22" i="1"/>
  <c r="E193" i="1"/>
  <c r="E170" i="1"/>
  <c r="E317" i="1"/>
  <c r="E275" i="1"/>
  <c r="E71" i="1"/>
  <c r="E269" i="1"/>
  <c r="E314" i="1"/>
  <c r="E277" i="1"/>
  <c r="E103" i="1"/>
  <c r="E131" i="1"/>
  <c r="E130" i="1"/>
  <c r="E260" i="1"/>
  <c r="E137" i="1"/>
  <c r="E322" i="1"/>
  <c r="E212" i="1"/>
  <c r="E306" i="1"/>
  <c r="E191" i="1"/>
  <c r="E284" i="1"/>
  <c r="E12" i="1"/>
  <c r="E330" i="1"/>
  <c r="E203" i="1"/>
  <c r="E319" i="1"/>
  <c r="E15" i="1"/>
  <c r="E98" i="1"/>
  <c r="E25" i="1"/>
  <c r="E17" i="1"/>
  <c r="E157" i="1"/>
  <c r="E68" i="1"/>
  <c r="E353" i="1"/>
  <c r="E199" i="1"/>
  <c r="E356" i="1"/>
  <c r="E327" i="1"/>
  <c r="E200" i="1"/>
  <c r="E26" i="1"/>
  <c r="E10" i="1"/>
  <c r="E299" i="1"/>
  <c r="E326" i="1"/>
  <c r="E223" i="1"/>
  <c r="E209" i="1"/>
  <c r="E117" i="1"/>
  <c r="E184" i="1"/>
  <c r="E85" i="1"/>
  <c r="E112" i="1"/>
  <c r="E128" i="1"/>
  <c r="E332" i="1"/>
  <c r="E257" i="1"/>
  <c r="E219" i="1"/>
  <c r="E23" i="1"/>
  <c r="E52" i="1"/>
  <c r="E118" i="1"/>
  <c r="E308" i="1"/>
  <c r="E107" i="1"/>
  <c r="E305" i="1"/>
  <c r="E144" i="1"/>
  <c r="E185" i="1"/>
  <c r="E239" i="1"/>
  <c r="E298" i="1"/>
  <c r="E138" i="1"/>
  <c r="E16" i="1"/>
  <c r="E186" i="1"/>
  <c r="E79" i="1"/>
  <c r="E222" i="1"/>
  <c r="E293" i="1"/>
  <c r="E121" i="1"/>
  <c r="E155" i="1"/>
  <c r="E14" i="1"/>
  <c r="E129" i="1"/>
  <c r="E172" i="1"/>
  <c r="E30" i="1"/>
  <c r="E250" i="1"/>
  <c r="E77" i="1"/>
  <c r="E150" i="1"/>
  <c r="E255" i="1"/>
  <c r="E158" i="1"/>
  <c r="E181" i="1"/>
  <c r="E247" i="1"/>
  <c r="E302" i="1"/>
  <c r="E27" i="1"/>
  <c r="E96" i="1"/>
  <c r="E190" i="1"/>
  <c r="E338" i="1"/>
  <c r="E366" i="1"/>
  <c r="E297" i="1"/>
  <c r="E235" i="1"/>
  <c r="E345" i="1"/>
  <c r="E287" i="1"/>
  <c r="E37" i="1"/>
  <c r="E124" i="1"/>
  <c r="E34" i="1"/>
  <c r="E45" i="1"/>
  <c r="E205" i="1"/>
  <c r="E160" i="1"/>
  <c r="E340" i="1"/>
  <c r="E156" i="1"/>
  <c r="E62" i="1"/>
  <c r="E164" i="1"/>
  <c r="E74" i="1"/>
  <c r="E231" i="1"/>
  <c r="E21" i="1"/>
  <c r="E46" i="1"/>
  <c r="E311" i="1"/>
  <c r="E290" i="1"/>
  <c r="E136" i="1"/>
  <c r="E228" i="1"/>
  <c r="E143" i="1"/>
  <c r="E197" i="1"/>
  <c r="E233" i="1"/>
  <c r="E61" i="1"/>
  <c r="E339" i="1"/>
  <c r="E147" i="1"/>
  <c r="E201" i="1"/>
  <c r="E325" i="1"/>
  <c r="E242" i="1"/>
  <c r="E70" i="1"/>
  <c r="E313" i="1"/>
  <c r="E38" i="1"/>
  <c r="E102" i="1"/>
  <c r="E276" i="1"/>
  <c r="E268" i="1"/>
  <c r="E335" i="1"/>
  <c r="E72" i="1"/>
  <c r="E51" i="1"/>
  <c r="E65" i="1"/>
  <c r="E154" i="1"/>
  <c r="E360" i="1"/>
  <c r="E267" i="1"/>
  <c r="E173" i="1"/>
  <c r="E139" i="1"/>
  <c r="E195" i="1"/>
  <c r="E55" i="1"/>
  <c r="E182" i="1"/>
  <c r="E355" i="1"/>
  <c r="E167" i="1"/>
  <c r="E54" i="1"/>
  <c r="E178" i="1"/>
  <c r="E367" i="1"/>
  <c r="E31" i="1"/>
  <c r="E211" i="1"/>
  <c r="E176" i="1"/>
  <c r="E153" i="1"/>
  <c r="E252" i="1"/>
  <c r="E149" i="1"/>
  <c r="E364" i="1"/>
  <c r="E140" i="1"/>
  <c r="E57" i="1"/>
  <c r="E286" i="1"/>
  <c r="E53" i="1"/>
  <c r="E119" i="1"/>
  <c r="E236" i="1"/>
  <c r="E75" i="1"/>
  <c r="E238" i="1"/>
  <c r="E49" i="1"/>
  <c r="E210" i="1"/>
  <c r="E116" i="1"/>
  <c r="E189" i="1"/>
  <c r="E214" i="1"/>
  <c r="E163" i="1"/>
  <c r="E123" i="1"/>
  <c r="E20" i="1"/>
  <c r="E134" i="1"/>
  <c r="E84" i="1"/>
  <c r="E273" i="1"/>
  <c r="E259" i="1"/>
  <c r="E237" i="1"/>
  <c r="E331" i="1"/>
  <c r="E227" i="1"/>
  <c r="E94" i="1"/>
  <c r="E291" i="1"/>
  <c r="E83" i="1"/>
  <c r="E270" i="1"/>
  <c r="E196" i="1"/>
  <c r="E232" i="1"/>
  <c r="E347" i="1"/>
  <c r="E165" i="1"/>
  <c r="E108" i="1"/>
  <c r="E48" i="1"/>
  <c r="E309" i="1"/>
  <c r="E266" i="1"/>
  <c r="E159" i="1"/>
  <c r="E187" i="1"/>
  <c r="E241" i="1"/>
  <c r="E207" i="1"/>
  <c r="E224" i="1"/>
  <c r="E97" i="1"/>
  <c r="E365" i="1"/>
  <c r="E175" i="1"/>
  <c r="E288" i="1"/>
  <c r="E333" i="1"/>
  <c r="E258" i="1"/>
  <c r="E78" i="1"/>
  <c r="E285" i="1"/>
  <c r="E312" i="1"/>
  <c r="E320" i="1"/>
  <c r="E346" i="1"/>
  <c r="E204" i="1"/>
  <c r="E213" i="1"/>
  <c r="E281" i="1"/>
  <c r="E168" i="1"/>
  <c r="E13" i="1"/>
  <c r="E24" i="1"/>
  <c r="E342" i="1"/>
  <c r="E29" i="1"/>
  <c r="E328" i="1"/>
  <c r="E115" i="1"/>
  <c r="E307" i="1"/>
  <c r="E142" i="1"/>
  <c r="E64" i="1"/>
  <c r="E301" i="1"/>
  <c r="E324" i="1"/>
  <c r="E329" i="1"/>
  <c r="E253" i="1"/>
  <c r="E352" i="1"/>
  <c r="E348" i="1"/>
  <c r="E91" i="1"/>
  <c r="E100" i="1"/>
  <c r="E361" i="1"/>
  <c r="E206" i="1"/>
  <c r="E92" i="1"/>
  <c r="E336" i="1"/>
  <c r="E341" i="1"/>
  <c r="E283" i="1"/>
  <c r="E151" i="1"/>
  <c r="E274" i="1"/>
  <c r="E162" i="1"/>
  <c r="E251" i="1"/>
  <c r="E323" i="1"/>
  <c r="E343" i="1"/>
  <c r="E351" i="1"/>
  <c r="E359" i="1"/>
  <c r="E202" i="1"/>
  <c r="E295" i="1"/>
  <c r="E254" i="1"/>
  <c r="E47" i="1"/>
  <c r="E248" i="1"/>
  <c r="E216" i="1"/>
  <c r="E194" i="1"/>
  <c r="E279" i="1"/>
  <c r="E272" i="1"/>
  <c r="E59" i="1"/>
  <c r="E66" i="1"/>
  <c r="E105" i="1"/>
  <c r="E44" i="1"/>
  <c r="E86" i="1"/>
  <c r="E243" i="1"/>
  <c r="E88" i="1"/>
  <c r="E218" i="1"/>
  <c r="E271" i="1"/>
  <c r="E120" i="1"/>
  <c r="E221" i="1"/>
  <c r="E278" i="1"/>
  <c r="E344" i="1"/>
  <c r="E133" i="1"/>
  <c r="E89" i="1"/>
  <c r="E101" i="1"/>
  <c r="E321" i="1"/>
  <c r="E169" i="1"/>
  <c r="E192" i="1"/>
  <c r="E60" i="1"/>
  <c r="E245" i="1"/>
  <c r="E357" i="1"/>
  <c r="E337" i="1"/>
  <c r="E111" i="1"/>
  <c r="E316" i="1"/>
  <c r="E179" i="1"/>
  <c r="E145" i="1"/>
  <c r="E28" i="1"/>
  <c r="E303" i="1"/>
  <c r="E318" i="1"/>
  <c r="E240" i="1"/>
  <c r="E229" i="1"/>
  <c r="E282" i="1"/>
  <c r="E104" i="1"/>
  <c r="E310" i="1"/>
  <c r="E99" i="1"/>
  <c r="E289" i="1"/>
  <c r="E362" i="1"/>
  <c r="E171" i="1"/>
  <c r="E349" i="1"/>
  <c r="E225" i="1"/>
  <c r="E244" i="1"/>
  <c r="E50" i="1"/>
  <c r="E230" i="1"/>
  <c r="E249" i="1"/>
  <c r="E125" i="1"/>
  <c r="E358" i="1"/>
  <c r="E256" i="1"/>
  <c r="E141" i="1"/>
  <c r="E217" i="1"/>
  <c r="E43" i="1"/>
  <c r="E304" i="1"/>
  <c r="E294" i="1"/>
  <c r="E152" i="1"/>
  <c r="E315" i="1"/>
  <c r="E350" i="1"/>
  <c r="E73" i="1"/>
  <c r="E36" i="1"/>
  <c r="E161" i="1"/>
  <c r="E35" i="1"/>
  <c r="E95" i="1"/>
  <c r="E87" i="1"/>
  <c r="E208" i="1"/>
  <c r="E135" i="1"/>
  <c r="E296" i="1"/>
  <c r="E126" i="1"/>
  <c r="E183" i="1"/>
  <c r="E261" i="1"/>
  <c r="E215" i="1"/>
  <c r="E90" i="1"/>
  <c r="E110" i="1"/>
  <c r="E106" i="1"/>
  <c r="E109" i="1"/>
  <c r="J28" i="1" l="1"/>
  <c r="D153" i="1"/>
  <c r="D175" i="1"/>
  <c r="D284" i="1"/>
  <c r="D366" i="1"/>
  <c r="D100" i="1"/>
  <c r="D76" i="1"/>
  <c r="D275" i="1"/>
  <c r="D354" i="1"/>
  <c r="D297" i="1"/>
  <c r="D61" i="1"/>
  <c r="D228" i="1"/>
  <c r="D124" i="1"/>
  <c r="D235" i="1"/>
  <c r="D250" i="1"/>
  <c r="D292" i="1"/>
  <c r="D288" i="1"/>
  <c r="D83" i="1"/>
  <c r="D79" i="1"/>
  <c r="D29" i="1"/>
  <c r="D205" i="1"/>
  <c r="D177" i="1"/>
  <c r="D92" i="1"/>
  <c r="D224" i="1"/>
  <c r="D259" i="1"/>
  <c r="D88" i="1"/>
  <c r="D227" i="1"/>
  <c r="D44" i="1"/>
  <c r="D248" i="1"/>
  <c r="D21" i="1"/>
  <c r="D55" i="1"/>
  <c r="D258" i="1"/>
  <c r="D242" i="1"/>
  <c r="D311" i="1"/>
  <c r="D105" i="1"/>
  <c r="D31" i="1"/>
  <c r="D51" i="1"/>
  <c r="D74" i="1"/>
  <c r="D30" i="1"/>
  <c r="D204" i="1"/>
  <c r="D196" i="1"/>
  <c r="D154" i="1"/>
  <c r="D347" i="1"/>
  <c r="D363" i="1"/>
  <c r="D169" i="1"/>
  <c r="D254" i="1"/>
  <c r="D352" i="1"/>
  <c r="D232" i="1"/>
  <c r="D134" i="1"/>
  <c r="D49" i="1"/>
  <c r="D355" i="1"/>
  <c r="D45" i="1"/>
  <c r="D133" i="1"/>
  <c r="D176" i="1"/>
  <c r="D262" i="1"/>
  <c r="D192" i="1"/>
  <c r="D181" i="1"/>
  <c r="D130" i="1"/>
  <c r="D267" i="1"/>
  <c r="D271" i="1"/>
  <c r="D269" i="1"/>
  <c r="D132" i="1"/>
  <c r="D180" i="1"/>
  <c r="D198" i="1"/>
  <c r="D334" i="1"/>
  <c r="D37" i="1"/>
  <c r="D69" i="1"/>
  <c r="D233" i="1"/>
  <c r="D281" i="1"/>
  <c r="D274" i="1"/>
  <c r="D38" i="1"/>
  <c r="D142" i="1"/>
  <c r="D238" i="1"/>
  <c r="D94" i="1"/>
  <c r="D226" i="1"/>
  <c r="D263" i="1"/>
  <c r="D219" i="1"/>
  <c r="D68" i="1"/>
  <c r="D40" i="1"/>
  <c r="D317" i="1"/>
  <c r="D305" i="1"/>
  <c r="D109" i="1"/>
  <c r="D73" i="1"/>
  <c r="D249" i="1"/>
  <c r="D225" i="1"/>
  <c r="D330" i="1"/>
  <c r="D99" i="1"/>
  <c r="D28" i="1"/>
  <c r="D111" i="1"/>
  <c r="D245" i="1"/>
  <c r="D343" i="1"/>
  <c r="D64" i="1"/>
  <c r="D342" i="1"/>
  <c r="D285" i="1"/>
  <c r="D189" i="1"/>
  <c r="D182" i="1"/>
  <c r="D34" i="1"/>
  <c r="D185" i="1"/>
  <c r="D112" i="1"/>
  <c r="D260" i="1"/>
  <c r="D82" i="1"/>
  <c r="D22" i="1"/>
  <c r="D277" i="1"/>
  <c r="D357" i="1"/>
  <c r="D87" i="1"/>
  <c r="D362" i="1"/>
  <c r="D141" i="1"/>
  <c r="D316" i="1"/>
  <c r="D324" i="1"/>
  <c r="D331" i="1"/>
  <c r="D62" i="1"/>
  <c r="D321" i="1"/>
  <c r="D155" i="1"/>
  <c r="D135" i="1"/>
  <c r="D349" i="1"/>
  <c r="D120" i="1"/>
  <c r="D66" i="1"/>
  <c r="D351" i="1"/>
  <c r="D97" i="1"/>
  <c r="D208" i="1"/>
  <c r="D315" i="1"/>
  <c r="D310" i="1"/>
  <c r="D236" i="1"/>
  <c r="D10" i="1"/>
  <c r="D265" i="1"/>
  <c r="D306" i="1"/>
  <c r="D209" i="1"/>
  <c r="D312" i="1"/>
  <c r="D214" i="1"/>
  <c r="D231" i="1"/>
  <c r="D158" i="1"/>
  <c r="D356" i="1"/>
  <c r="D98" i="1"/>
  <c r="D300" i="1"/>
  <c r="D42" i="1"/>
  <c r="D188" i="1"/>
  <c r="D304" i="1"/>
  <c r="D229" i="1"/>
  <c r="D257" i="1"/>
  <c r="D157" i="1"/>
  <c r="D113" i="1"/>
  <c r="D80" i="1"/>
  <c r="D146" i="1"/>
  <c r="D52" i="1"/>
  <c r="D17" i="1"/>
  <c r="D322" i="1"/>
  <c r="D148" i="1"/>
  <c r="D67" i="1"/>
  <c r="D212" i="1"/>
  <c r="D314" i="1"/>
  <c r="D93" i="1"/>
  <c r="D110" i="1"/>
  <c r="D183" i="1"/>
  <c r="D161" i="1"/>
  <c r="D43" i="1"/>
  <c r="D50" i="1"/>
  <c r="D344" i="1"/>
  <c r="D336" i="1"/>
  <c r="D159" i="1"/>
  <c r="D108" i="1"/>
  <c r="D53" i="1"/>
  <c r="D364" i="1"/>
  <c r="D178" i="1"/>
  <c r="D360" i="1"/>
  <c r="D72" i="1"/>
  <c r="D102" i="1"/>
  <c r="D339" i="1"/>
  <c r="D143" i="1"/>
  <c r="D345" i="1"/>
  <c r="D184" i="1"/>
  <c r="D319" i="1"/>
  <c r="D144" i="1"/>
  <c r="D85" i="1"/>
  <c r="D264" i="1"/>
  <c r="D234" i="1"/>
  <c r="D131" i="1"/>
  <c r="D15" i="1"/>
  <c r="D81" i="1"/>
  <c r="D174" i="1"/>
  <c r="D58" i="1"/>
  <c r="D56" i="1"/>
  <c r="D12" i="1"/>
  <c r="D332" i="1"/>
  <c r="D90" i="1"/>
  <c r="D126" i="1"/>
  <c r="D36" i="1"/>
  <c r="D217" i="1"/>
  <c r="D125" i="1"/>
  <c r="D104" i="1"/>
  <c r="D60" i="1"/>
  <c r="D278" i="1"/>
  <c r="D218" i="1"/>
  <c r="D272" i="1"/>
  <c r="D202" i="1"/>
  <c r="D151" i="1"/>
  <c r="D91" i="1"/>
  <c r="D24" i="1"/>
  <c r="D78" i="1"/>
  <c r="D207" i="1"/>
  <c r="D266" i="1"/>
  <c r="D165" i="1"/>
  <c r="D273" i="1"/>
  <c r="D123" i="1"/>
  <c r="D116" i="1"/>
  <c r="D286" i="1"/>
  <c r="D149" i="1"/>
  <c r="D54" i="1"/>
  <c r="D353" i="1"/>
  <c r="D335" i="1"/>
  <c r="D325" i="1"/>
  <c r="D18" i="1"/>
  <c r="D19" i="1"/>
  <c r="D39" i="1"/>
  <c r="D200" i="1"/>
  <c r="D170" i="1"/>
  <c r="D223" i="1"/>
  <c r="D280" i="1"/>
  <c r="D261" i="1"/>
  <c r="D35" i="1"/>
  <c r="D256" i="1"/>
  <c r="D341" i="1"/>
  <c r="D361" i="1"/>
  <c r="D168" i="1"/>
  <c r="D213" i="1"/>
  <c r="D333" i="1"/>
  <c r="D187" i="1"/>
  <c r="D291" i="1"/>
  <c r="D119" i="1"/>
  <c r="D140" i="1"/>
  <c r="D367" i="1"/>
  <c r="D199" i="1"/>
  <c r="D26" i="1"/>
  <c r="D147" i="1"/>
  <c r="D197" i="1"/>
  <c r="D290" i="1"/>
  <c r="D216" i="1"/>
  <c r="D328" i="1"/>
  <c r="D20" i="1"/>
  <c r="D302" i="1"/>
  <c r="D255" i="1"/>
  <c r="D298" i="1"/>
  <c r="D318" i="1"/>
  <c r="D215" i="1"/>
  <c r="D294" i="1"/>
  <c r="D282" i="1"/>
  <c r="D303" i="1"/>
  <c r="D279" i="1"/>
  <c r="D206" i="1"/>
  <c r="D307" i="1"/>
  <c r="D241" i="1"/>
  <c r="D84" i="1"/>
  <c r="D195" i="1"/>
  <c r="D65" i="1"/>
  <c r="D313" i="1"/>
  <c r="D16" i="1"/>
  <c r="D114" i="1"/>
  <c r="D337" i="1"/>
  <c r="D348" i="1"/>
  <c r="D13" i="1"/>
  <c r="D365" i="1"/>
  <c r="D167" i="1"/>
  <c r="D162" i="1"/>
  <c r="D301" i="1"/>
  <c r="D115" i="1"/>
  <c r="D11" i="1"/>
  <c r="D244" i="1"/>
  <c r="D179" i="1"/>
  <c r="D59" i="1"/>
  <c r="D296" i="1"/>
  <c r="D95" i="1"/>
  <c r="D289" i="1"/>
  <c r="D243" i="1"/>
  <c r="D194" i="1"/>
  <c r="D48" i="1"/>
  <c r="D118" i="1"/>
  <c r="D326" i="1"/>
  <c r="D41" i="1"/>
  <c r="D127" i="1"/>
  <c r="D23" i="1"/>
  <c r="D128" i="1"/>
  <c r="D117" i="1"/>
  <c r="D25" i="1"/>
  <c r="D203" i="1"/>
  <c r="D191" i="1"/>
  <c r="D137" i="1"/>
  <c r="D9" i="1"/>
  <c r="D33" i="1"/>
  <c r="D101" i="1"/>
  <c r="D329" i="1"/>
  <c r="D346" i="1"/>
  <c r="D270" i="1"/>
  <c r="D75" i="1"/>
  <c r="D211" i="1"/>
  <c r="D160" i="1"/>
  <c r="D190" i="1"/>
  <c r="D247" i="1"/>
  <c r="D186" i="1"/>
  <c r="D220" i="1"/>
  <c r="D106" i="1"/>
  <c r="D350" i="1"/>
  <c r="D230" i="1"/>
  <c r="D358" i="1"/>
  <c r="D171" i="1"/>
  <c r="D240" i="1"/>
  <c r="D145" i="1"/>
  <c r="D89" i="1"/>
  <c r="D221" i="1"/>
  <c r="D47" i="1"/>
  <c r="D359" i="1"/>
  <c r="D251" i="1"/>
  <c r="D283" i="1"/>
  <c r="D320" i="1"/>
  <c r="D309" i="1"/>
  <c r="D163" i="1"/>
  <c r="D210" i="1"/>
  <c r="D57" i="1"/>
  <c r="D252" i="1"/>
  <c r="D63" i="1"/>
  <c r="D268" i="1"/>
  <c r="D201" i="1"/>
  <c r="D136" i="1"/>
  <c r="D96" i="1"/>
  <c r="D129" i="1"/>
  <c r="D293" i="1"/>
  <c r="D193" i="1"/>
  <c r="D103" i="1"/>
  <c r="D327" i="1"/>
  <c r="D237" i="1"/>
  <c r="D156" i="1"/>
  <c r="D222" i="1"/>
  <c r="D138" i="1"/>
  <c r="D166" i="1"/>
  <c r="D107" i="1"/>
  <c r="D299" i="1"/>
  <c r="D122" i="1"/>
  <c r="D246" i="1"/>
  <c r="D71" i="1"/>
  <c r="D323" i="1"/>
  <c r="D46" i="1"/>
  <c r="D164" i="1"/>
  <c r="D150" i="1"/>
  <c r="D172" i="1"/>
  <c r="D121" i="1"/>
  <c r="D308" i="1"/>
  <c r="D173" i="1"/>
  <c r="D338" i="1"/>
  <c r="D77" i="1"/>
  <c r="C8" i="1"/>
  <c r="C10" i="1" s="1"/>
  <c r="C9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D139" i="1"/>
  <c r="D276" i="1"/>
  <c r="D70" i="1"/>
  <c r="D287" i="1"/>
  <c r="D27" i="1"/>
  <c r="D14" i="1"/>
  <c r="D152" i="1"/>
  <c r="D86" i="1"/>
  <c r="D295" i="1"/>
  <c r="D253" i="1"/>
  <c r="D340" i="1"/>
  <c r="D239" i="1"/>
  <c r="C32" i="1" l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</calcChain>
</file>

<file path=xl/comments1.xml><?xml version="1.0" encoding="utf-8"?>
<comments xmlns="http://schemas.openxmlformats.org/spreadsheetml/2006/main">
  <authors>
    <author>Фомин Александр Сергеевич</author>
  </authors>
  <commentList>
    <comment ref="P1" authorId="0" shapeId="0">
      <text>
        <r>
          <rPr>
            <b/>
            <sz val="9"/>
            <color indexed="81"/>
            <rFont val="Tahoma"/>
            <family val="2"/>
            <charset val="204"/>
          </rPr>
          <t>ФЗ 0,99 / ФЗ 0,5
Дельта по ставке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КОМБО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  <charset val="204"/>
          </rPr>
          <t>СС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КОМПЕНСАЦИЯ %%</t>
        </r>
      </text>
    </comment>
  </commentList>
</comments>
</file>

<file path=xl/comments2.xml><?xml version="1.0" encoding="utf-8"?>
<comments xmlns="http://schemas.openxmlformats.org/spreadsheetml/2006/main">
  <authors>
    <author>Фомин Александр Сергеевич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КОМИССИЯ СУБСИДИРОВАНИЯ ПРИ ПВ 20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КОМИССИЯ СУБСИДИРОВАНИЯ ПРИ ПВ 20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КОМИССИЯ СУБСИДИРОВАНИЯ ПРИ ПВ 15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КОМИССИЯ СУБСИДИРОВАНИЯ ПРИ ПВ  15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ОГРАНИЧЕННЫЙ СРОК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Размер компенсации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Размер дисконта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Размер дисконта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Размер компенсации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Размер дисконта</t>
        </r>
      </text>
    </comment>
  </commentList>
</comments>
</file>

<file path=xl/sharedStrings.xml><?xml version="1.0" encoding="utf-8"?>
<sst xmlns="http://schemas.openxmlformats.org/spreadsheetml/2006/main" count="525" uniqueCount="112">
  <si>
    <t>LTV (кредит / залог), %</t>
  </si>
  <si>
    <t>Базовая ставка</t>
  </si>
  <si>
    <t>Срок кредита, лет</t>
  </si>
  <si>
    <t>без отсрочки</t>
  </si>
  <si>
    <t>полный срок</t>
  </si>
  <si>
    <t>Новостройка</t>
  </si>
  <si>
    <t>Новостройка с господдержкой 2020</t>
  </si>
  <si>
    <t>СС комиссия</t>
  </si>
  <si>
    <t>СС скидка</t>
  </si>
  <si>
    <t>Тип залога</t>
  </si>
  <si>
    <t>Семейная ипотека</t>
  </si>
  <si>
    <t>Программа кредитования</t>
  </si>
  <si>
    <t>Сумма кредита, руб</t>
  </si>
  <si>
    <t>Стоимость объекта, руб</t>
  </si>
  <si>
    <t>Квартира</t>
  </si>
  <si>
    <t>%</t>
  </si>
  <si>
    <t>Квартира/апартаменты LTV90</t>
  </si>
  <si>
    <t>Квартира/апартаменты LTV80</t>
  </si>
  <si>
    <t>Госпрограмма 2020</t>
  </si>
  <si>
    <t>Детская ипотека</t>
  </si>
  <si>
    <t>Дисконт Халва</t>
  </si>
  <si>
    <t>ОСЗ</t>
  </si>
  <si>
    <t>Вторичка</t>
  </si>
  <si>
    <t>Рефинансирование</t>
  </si>
  <si>
    <t>Апартаменты</t>
  </si>
  <si>
    <t>Программа</t>
  </si>
  <si>
    <t>Залог</t>
  </si>
  <si>
    <t>LTV верх</t>
  </si>
  <si>
    <t>LTV низ</t>
  </si>
  <si>
    <t>ИП</t>
  </si>
  <si>
    <t>Коммерция</t>
  </si>
  <si>
    <t>программа</t>
  </si>
  <si>
    <t>Размер компенсации (в % от суммы кредита) НДС не облагается</t>
  </si>
  <si>
    <t>ИП / Собственник бизнеса</t>
  </si>
  <si>
    <t>Снижение ставки в кредит?</t>
  </si>
  <si>
    <t>Рефинансирование по Семейной ипотеке</t>
  </si>
  <si>
    <t>Детская ипотека_Рефинансирование</t>
  </si>
  <si>
    <t>Макс ДЛТВ по программе</t>
  </si>
  <si>
    <t>Ипотека для IT-специалистов</t>
  </si>
  <si>
    <t>IT-ипотека</t>
  </si>
  <si>
    <t>Макс.сумма кредита</t>
  </si>
  <si>
    <t>Срок кредита, мес</t>
  </si>
  <si>
    <t>Мин сумма</t>
  </si>
  <si>
    <t>Мин срок</t>
  </si>
  <si>
    <t>Первоначальный взнос, %</t>
  </si>
  <si>
    <t>Отключить акцию "Выгодная ипотека с Халвой"</t>
  </si>
  <si>
    <t>Дальневосточная ипотека</t>
  </si>
  <si>
    <t>Семейная ипотека ДФО</t>
  </si>
  <si>
    <t>Надбавка ИП</t>
  </si>
  <si>
    <t>Дисконт Летняя</t>
  </si>
  <si>
    <t>Коммерция LTV60</t>
  </si>
  <si>
    <t>с сохранением ПВ в %</t>
  </si>
  <si>
    <t>Детская</t>
  </si>
  <si>
    <t>Детская ДФО</t>
  </si>
  <si>
    <t>ИТ ипотека</t>
  </si>
  <si>
    <t>Корректировка на ТОП партнеров Х+З</t>
  </si>
  <si>
    <t>на срок, мес</t>
  </si>
  <si>
    <t>Надбавка за пониженный ФЗ</t>
  </si>
  <si>
    <t>Дом с земельным участком</t>
  </si>
  <si>
    <t>Дом с ЗУ LTV60</t>
  </si>
  <si>
    <t>Коммерция LTV70</t>
  </si>
  <si>
    <t>Калькулятор процентной ставки</t>
  </si>
  <si>
    <t>Опция "Снижение тарифа по ФЗ"</t>
  </si>
  <si>
    <t>Ставка</t>
  </si>
  <si>
    <t>Крупный чек (сумма кредита от 8 млн Мск/МО,4 млн СПБ/ЛО, 3 млн проч.)</t>
  </si>
  <si>
    <t>Крупный чек</t>
  </si>
  <si>
    <t>Без процентов</t>
  </si>
  <si>
    <t>Надбавка компенсация %</t>
  </si>
  <si>
    <t>Полный срок:</t>
  </si>
  <si>
    <t>Господдержка:</t>
  </si>
  <si>
    <t>ГП2020</t>
  </si>
  <si>
    <t>ПВ 20</t>
  </si>
  <si>
    <t>ПВ 15</t>
  </si>
  <si>
    <t>Госка:</t>
  </si>
  <si>
    <t>Скидка к ставке за счет субс</t>
  </si>
  <si>
    <t>СУБСИДИРОВАНИЕ ПОЛНЫЙ СРОК</t>
  </si>
  <si>
    <t>СУБСИДИРОВАНИЕ ОГРАНИЧЕННЫЙ СРОК</t>
  </si>
  <si>
    <t>ПВ20</t>
  </si>
  <si>
    <t>ПВ15</t>
  </si>
  <si>
    <t>ДКПЗН</t>
  </si>
  <si>
    <t>ДКПЗН СС</t>
  </si>
  <si>
    <t>ДКПЗН комиссия</t>
  </si>
  <si>
    <t>ДКПЗН скидка</t>
  </si>
  <si>
    <t>Первоначальный взнос, руб</t>
  </si>
  <si>
    <t>Дисконт по субс:</t>
  </si>
  <si>
    <t>Основные параметры</t>
  </si>
  <si>
    <t>Дополнительные параметры</t>
  </si>
  <si>
    <t>Услуга "Снижение ставки" в кредит</t>
  </si>
  <si>
    <t>Услуга "Снижение ставки"</t>
  </si>
  <si>
    <t>Диск. МегаХалва</t>
  </si>
  <si>
    <t>№ платежа</t>
  </si>
  <si>
    <t>Ежемесячный</t>
  </si>
  <si>
    <t>платеж</t>
  </si>
  <si>
    <t>Погашение</t>
  </si>
  <si>
    <t>ОД</t>
  </si>
  <si>
    <t>Тарифы ФЗ</t>
  </si>
  <si>
    <t>Надбавка к ставке за ФЗ</t>
  </si>
  <si>
    <t>Тариф ФЗ, %</t>
  </si>
  <si>
    <t>Субсид:</t>
  </si>
  <si>
    <t>Комиссия, %</t>
  </si>
  <si>
    <t>Комиссия, руб</t>
  </si>
  <si>
    <t>Ежемесячный платеж, руб</t>
  </si>
  <si>
    <t>Экономия клиента, руб</t>
  </si>
  <si>
    <t>Комиссия с клиента, % от суммы кредита</t>
  </si>
  <si>
    <t>Дисконт к ставке, %</t>
  </si>
  <si>
    <t>Сумма комиссии с клиента, руб.</t>
  </si>
  <si>
    <t>Экономия для клиента, руб.</t>
  </si>
  <si>
    <t>Снижение ставки</t>
  </si>
  <si>
    <t>Процентная ставка, %</t>
  </si>
  <si>
    <t>Сумма кредита на объект, руб.</t>
  </si>
  <si>
    <t>Базовая ставка, %</t>
  </si>
  <si>
    <t>Базовая ставка для указания вручную,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</si>
</sst>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₽&quot;#,##0.00_);[Red]\(&quot;₽&quot;#,##0.00\)"/>
    <numFmt numFmtId="165" formatCode="_(* #,##0.00_);_(* \(#,##0.00\);_(* &quot;-&quot;??_);_(@_)"/>
    <numFmt numFmtId="166" formatCode="0.0"/>
    <numFmt numFmtId="167" formatCode="#,##0.00\ &quot;₽&quot;"/>
    <numFmt numFmtId="168" formatCode="0.0%"/>
    <numFmt numFmtId="170" formatCode="0.0000000000000%"/>
    <numFmt numFmtId="173" formatCode="0.00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9"/>
      <color rgb="FFC0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name val="Verdana"/>
      <family val="2"/>
      <charset val="204"/>
    </font>
    <font>
      <b/>
      <sz val="9"/>
      <color rgb="FFFC5055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FC5055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color theme="0"/>
      <name val="Verdana"/>
      <family val="2"/>
      <charset val="204"/>
    </font>
    <font>
      <i/>
      <sz val="9"/>
      <color theme="0"/>
      <name val="Verdana"/>
      <family val="2"/>
      <charset val="204"/>
    </font>
    <font>
      <sz val="11"/>
      <color theme="1"/>
      <name val="Calibri Light"/>
      <family val="2"/>
      <charset val="204"/>
      <scheme val="major"/>
    </font>
    <font>
      <b/>
      <sz val="11"/>
      <color rgb="FFFF0000"/>
      <name val="Calibri Light"/>
      <family val="2"/>
      <charset val="204"/>
      <scheme val="major"/>
    </font>
    <font>
      <sz val="9"/>
      <color indexed="81"/>
      <name val="Tahoma"/>
      <family val="2"/>
      <charset val="204"/>
    </font>
    <font>
      <sz val="11"/>
      <name val="Calibri Light"/>
      <family val="2"/>
      <charset val="204"/>
      <scheme val="major"/>
    </font>
    <font>
      <sz val="11"/>
      <name val="Calibri Light"/>
      <family val="1"/>
      <charset val="204"/>
      <scheme val="major"/>
    </font>
    <font>
      <sz val="11"/>
      <color theme="1"/>
      <name val="Calibri Light"/>
      <family val="1"/>
      <charset val="204"/>
      <scheme val="major"/>
    </font>
    <font>
      <sz val="11"/>
      <color rgb="FFFF0000"/>
      <name val="Calibri Light"/>
      <family val="1"/>
      <charset val="204"/>
      <scheme val="major"/>
    </font>
    <font>
      <sz val="11"/>
      <color theme="0"/>
      <name val="Calibri Light"/>
      <family val="1"/>
      <charset val="204"/>
      <scheme val="major"/>
    </font>
    <font>
      <sz val="1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0"/>
      <name val="Calibri Light"/>
      <family val="2"/>
      <charset val="204"/>
      <scheme val="major"/>
    </font>
    <font>
      <b/>
      <sz val="9"/>
      <color theme="0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color rgb="FFFF0000"/>
      <name val="Verdana"/>
      <family val="2"/>
      <charset val="204"/>
    </font>
    <font>
      <sz val="9"/>
      <color rgb="FFFFB7BE"/>
      <name val="Verdana"/>
      <family val="2"/>
      <charset val="204"/>
    </font>
    <font>
      <sz val="9"/>
      <color rgb="FFFFB9BE"/>
      <name val="Verdana"/>
      <family val="2"/>
      <charset val="204"/>
    </font>
    <font>
      <b/>
      <sz val="11"/>
      <color rgb="FFFC5055"/>
      <name val="Verdana"/>
      <family val="2"/>
      <charset val="204"/>
    </font>
    <font>
      <sz val="11"/>
      <color theme="0"/>
      <name val="Verdana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rgb="FFFF0000"/>
      <name val="Verdana"/>
      <family val="2"/>
      <charset val="204"/>
    </font>
    <font>
      <b/>
      <sz val="10"/>
      <color rgb="FFFF0000"/>
      <name val="Verdana"/>
      <family val="2"/>
      <charset val="204"/>
    </font>
    <font>
      <i/>
      <sz val="10"/>
      <color rgb="FFFF0000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790"/>
        <bgColor indexed="64"/>
      </patternFill>
    </fill>
    <fill>
      <patternFill patternType="solid">
        <fgColor rgb="FFBBD7F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B7BE"/>
        <bgColor indexed="64"/>
      </patternFill>
    </fill>
    <fill>
      <patternFill patternType="solid">
        <fgColor rgb="FFFFB9BE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thin">
        <color rgb="FF003791"/>
      </right>
      <top style="thin">
        <color rgb="FF003791"/>
      </top>
      <bottom style="thin">
        <color rgb="FF003791"/>
      </bottom>
      <diagonal/>
    </border>
    <border>
      <left style="thin">
        <color rgb="FF003791"/>
      </left>
      <right style="thin">
        <color rgb="FF003791"/>
      </right>
      <top style="thin">
        <color rgb="FF003791"/>
      </top>
      <bottom style="thin">
        <color rgb="FF003791"/>
      </bottom>
      <diagonal/>
    </border>
    <border>
      <left style="thin">
        <color rgb="FF003791"/>
      </left>
      <right/>
      <top style="thin">
        <color rgb="FF003791"/>
      </top>
      <bottom style="thin">
        <color rgb="FF003791"/>
      </bottom>
      <diagonal/>
    </border>
    <border>
      <left/>
      <right style="thin">
        <color rgb="FF003791"/>
      </right>
      <top/>
      <bottom style="thin">
        <color rgb="FF003791"/>
      </bottom>
      <diagonal/>
    </border>
    <border>
      <left style="thin">
        <color rgb="FF003791"/>
      </left>
      <right style="thin">
        <color rgb="FF003791"/>
      </right>
      <top/>
      <bottom style="thin">
        <color rgb="FF003791"/>
      </bottom>
      <diagonal/>
    </border>
    <border>
      <left style="thin">
        <color rgb="FF003791"/>
      </left>
      <right/>
      <top/>
      <bottom style="thin">
        <color rgb="FF0037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0" applyFont="1"/>
    <xf numFmtId="0" fontId="4" fillId="0" borderId="0" xfId="0" applyFont="1"/>
    <xf numFmtId="9" fontId="3" fillId="0" borderId="5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2" fillId="0" borderId="20" xfId="2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3" fontId="6" fillId="0" borderId="9" xfId="0" applyNumberFormat="1" applyFont="1" applyFill="1" applyBorder="1" applyAlignment="1" applyProtection="1">
      <alignment horizontal="center" vertical="center"/>
      <protection hidden="1"/>
    </xf>
    <xf numFmtId="3" fontId="3" fillId="0" borderId="20" xfId="0" applyNumberFormat="1" applyFont="1" applyBorder="1" applyAlignment="1" applyProtection="1">
      <alignment horizontal="center" vertical="center"/>
      <protection hidden="1"/>
    </xf>
    <xf numFmtId="10" fontId="11" fillId="0" borderId="20" xfId="0" applyNumberFormat="1" applyFont="1" applyBorder="1" applyAlignment="1" applyProtection="1">
      <alignment horizontal="center" vertical="center"/>
      <protection hidden="1"/>
    </xf>
    <xf numFmtId="1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2" fontId="0" fillId="0" borderId="0" xfId="0" applyNumberFormat="1"/>
    <xf numFmtId="10" fontId="21" fillId="0" borderId="0" xfId="6" applyNumberFormat="1" applyFont="1" applyFill="1" applyBorder="1" applyAlignment="1">
      <alignment horizontal="center" vertical="center"/>
    </xf>
    <xf numFmtId="10" fontId="21" fillId="0" borderId="0" xfId="1" applyNumberFormat="1" applyFont="1" applyFill="1" applyBorder="1" applyAlignment="1">
      <alignment horizontal="center" vertical="center"/>
    </xf>
    <xf numFmtId="165" fontId="19" fillId="5" borderId="0" xfId="4" applyFont="1" applyFill="1" applyBorder="1" applyAlignment="1">
      <alignment horizontal="center" vertical="center"/>
    </xf>
    <xf numFmtId="0" fontId="7" fillId="0" borderId="0" xfId="0" applyFont="1" applyProtection="1">
      <protection hidden="1"/>
    </xf>
    <xf numFmtId="0" fontId="0" fillId="0" borderId="20" xfId="0" applyBorder="1"/>
    <xf numFmtId="0" fontId="9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Fill="1" applyBorder="1"/>
    <xf numFmtId="0" fontId="2" fillId="0" borderId="24" xfId="2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4" fontId="15" fillId="0" borderId="26" xfId="6" applyNumberFormat="1" applyFont="1" applyFill="1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4" fontId="15" fillId="2" borderId="20" xfId="6" applyNumberFormat="1" applyFont="1" applyFill="1" applyBorder="1" applyAlignment="1">
      <alignment horizontal="center" vertical="center"/>
    </xf>
    <xf numFmtId="2" fontId="15" fillId="2" borderId="20" xfId="6" applyNumberFormat="1" applyFont="1" applyFill="1" applyBorder="1" applyAlignment="1">
      <alignment horizontal="center" vertical="center"/>
    </xf>
    <xf numFmtId="0" fontId="0" fillId="0" borderId="20" xfId="0" applyFill="1" applyBorder="1"/>
    <xf numFmtId="4" fontId="15" fillId="0" borderId="20" xfId="6" applyNumberFormat="1" applyFont="1" applyFill="1" applyBorder="1" applyAlignment="1">
      <alignment horizontal="center" vertical="center"/>
    </xf>
    <xf numFmtId="9" fontId="0" fillId="0" borderId="20" xfId="0" applyNumberFormat="1" applyFill="1" applyBorder="1"/>
    <xf numFmtId="10" fontId="0" fillId="0" borderId="20" xfId="0" applyNumberFormat="1" applyFill="1" applyBorder="1"/>
    <xf numFmtId="9" fontId="0" fillId="0" borderId="20" xfId="1" applyFont="1" applyFill="1" applyBorder="1"/>
    <xf numFmtId="3" fontId="0" fillId="0" borderId="20" xfId="1" applyNumberFormat="1" applyFont="1" applyFill="1" applyBorder="1"/>
    <xf numFmtId="0" fontId="0" fillId="0" borderId="0" xfId="0" applyFill="1"/>
    <xf numFmtId="10" fontId="0" fillId="0" borderId="0" xfId="0" applyNumberFormat="1" applyFill="1"/>
    <xf numFmtId="9" fontId="0" fillId="0" borderId="0" xfId="0" applyNumberFormat="1" applyFill="1"/>
    <xf numFmtId="9" fontId="0" fillId="0" borderId="0" xfId="1" applyFont="1" applyFill="1"/>
    <xf numFmtId="3" fontId="0" fillId="0" borderId="0" xfId="1" applyNumberFormat="1" applyFont="1" applyFill="1"/>
    <xf numFmtId="0" fontId="0" fillId="0" borderId="0" xfId="0" applyBorder="1"/>
    <xf numFmtId="170" fontId="0" fillId="0" borderId="0" xfId="0" applyNumberFormat="1" applyBorder="1"/>
    <xf numFmtId="165" fontId="18" fillId="6" borderId="0" xfId="4" applyFont="1" applyFill="1" applyBorder="1" applyAlignment="1">
      <alignment horizontal="center" vertical="center"/>
    </xf>
    <xf numFmtId="1" fontId="18" fillId="5" borderId="0" xfId="6" applyNumberFormat="1" applyFont="1" applyFill="1" applyBorder="1" applyAlignment="1">
      <alignment horizontal="center" vertical="center"/>
    </xf>
    <xf numFmtId="2" fontId="19" fillId="5" borderId="0" xfId="4" applyNumberFormat="1" applyFont="1" applyFill="1" applyBorder="1" applyAlignment="1">
      <alignment horizontal="center" vertical="center"/>
    </xf>
    <xf numFmtId="10" fontId="22" fillId="0" borderId="0" xfId="1" applyNumberFormat="1" applyFont="1" applyFill="1" applyBorder="1" applyAlignment="1">
      <alignment horizontal="center" vertical="center"/>
    </xf>
    <xf numFmtId="10" fontId="22" fillId="0" borderId="0" xfId="6" applyNumberFormat="1" applyFont="1" applyFill="1" applyBorder="1" applyAlignment="1">
      <alignment horizontal="center" vertical="center"/>
    </xf>
    <xf numFmtId="10" fontId="19" fillId="0" borderId="0" xfId="1" applyNumberFormat="1" applyFont="1" applyFill="1" applyBorder="1" applyAlignment="1">
      <alignment horizontal="center" vertical="center"/>
    </xf>
    <xf numFmtId="10" fontId="19" fillId="0" borderId="0" xfId="6" applyNumberFormat="1" applyFont="1" applyFill="1" applyBorder="1" applyAlignment="1">
      <alignment horizontal="center" vertical="center"/>
    </xf>
    <xf numFmtId="10" fontId="0" fillId="0" borderId="0" xfId="1" applyNumberFormat="1" applyFont="1" applyBorder="1"/>
    <xf numFmtId="2" fontId="0" fillId="0" borderId="0" xfId="0" applyNumberFormat="1" applyBorder="1"/>
    <xf numFmtId="10" fontId="18" fillId="3" borderId="20" xfId="2" applyNumberFormat="1" applyFont="1" applyFill="1" applyBorder="1" applyAlignment="1">
      <alignment horizontal="center" vertical="center"/>
    </xf>
    <xf numFmtId="2" fontId="15" fillId="0" borderId="20" xfId="6" applyNumberFormat="1" applyFont="1" applyFill="1" applyBorder="1" applyAlignment="1">
      <alignment horizontal="center" vertical="center"/>
    </xf>
    <xf numFmtId="4" fontId="2" fillId="0" borderId="20" xfId="1" applyNumberFormat="1" applyFont="1" applyFill="1" applyBorder="1" applyAlignment="1">
      <alignment horizontal="center" vertical="center"/>
    </xf>
    <xf numFmtId="10" fontId="18" fillId="0" borderId="20" xfId="2" applyNumberFormat="1" applyFont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1" applyNumberFormat="1" applyFont="1"/>
    <xf numFmtId="1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20" xfId="0" applyNumberFormat="1" applyFont="1" applyBorder="1" applyAlignment="1" applyProtection="1">
      <alignment horizontal="center" vertical="center"/>
      <protection hidden="1"/>
    </xf>
    <xf numFmtId="3" fontId="11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5" xfId="0" applyBorder="1"/>
    <xf numFmtId="0" fontId="0" fillId="0" borderId="28" xfId="0" applyBorder="1"/>
    <xf numFmtId="10" fontId="15" fillId="3" borderId="28" xfId="2" applyNumberFormat="1" applyFon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/>
    </xf>
    <xf numFmtId="10" fontId="12" fillId="0" borderId="20" xfId="0" applyNumberFormat="1" applyFont="1" applyFill="1" applyBorder="1"/>
    <xf numFmtId="10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/>
    <xf numFmtId="2" fontId="0" fillId="0" borderId="20" xfId="0" applyNumberFormat="1" applyBorder="1" applyAlignment="1">
      <alignment horizontal="center" vertical="center"/>
    </xf>
    <xf numFmtId="4" fontId="15" fillId="0" borderId="20" xfId="1" applyNumberFormat="1" applyFont="1" applyFill="1" applyBorder="1" applyAlignment="1">
      <alignment horizontal="center" vertical="center"/>
    </xf>
    <xf numFmtId="0" fontId="0" fillId="0" borderId="21" xfId="0" applyFill="1" applyBorder="1"/>
    <xf numFmtId="0" fontId="0" fillId="0" borderId="20" xfId="0" applyBorder="1" applyAlignment="1">
      <alignment vertical="center"/>
    </xf>
    <xf numFmtId="0" fontId="27" fillId="0" borderId="20" xfId="0" applyFont="1" applyBorder="1" applyAlignment="1">
      <alignment horizontal="left" vertical="center" wrapText="1"/>
    </xf>
    <xf numFmtId="10" fontId="20" fillId="0" borderId="0" xfId="6" applyNumberFormat="1" applyFont="1" applyFill="1" applyBorder="1" applyAlignment="1">
      <alignment horizontal="center" vertical="center"/>
    </xf>
    <xf numFmtId="10" fontId="20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10" fontId="0" fillId="0" borderId="0" xfId="1" applyNumberFormat="1" applyFont="1" applyFill="1" applyBorder="1"/>
    <xf numFmtId="0" fontId="0" fillId="0" borderId="0" xfId="0" applyBorder="1" applyAlignment="1">
      <alignment horizontal="left"/>
    </xf>
    <xf numFmtId="0" fontId="13" fillId="0" borderId="0" xfId="0" applyFont="1" applyAlignment="1" applyProtection="1">
      <alignment horizontal="left" vertical="center" wrapText="1"/>
      <protection hidden="1"/>
    </xf>
    <xf numFmtId="168" fontId="14" fillId="0" borderId="0" xfId="1" applyNumberFormat="1" applyFont="1" applyAlignment="1" applyProtection="1">
      <alignment horizontal="left" vertical="center"/>
      <protection hidden="1"/>
    </xf>
    <xf numFmtId="2" fontId="13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Border="1"/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4" fontId="15" fillId="10" borderId="20" xfId="6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/>
    </xf>
    <xf numFmtId="0" fontId="0" fillId="0" borderId="31" xfId="0" applyFill="1" applyBorder="1"/>
    <xf numFmtId="10" fontId="26" fillId="0" borderId="20" xfId="0" applyNumberFormat="1" applyFont="1" applyFill="1" applyBorder="1" applyAlignment="1">
      <alignment horizontal="center"/>
    </xf>
    <xf numFmtId="0" fontId="3" fillId="0" borderId="4" xfId="0" applyFont="1" applyBorder="1" applyAlignment="1" applyProtection="1">
      <alignment vertical="center"/>
      <protection hidden="1"/>
    </xf>
    <xf numFmtId="9" fontId="3" fillId="0" borderId="5" xfId="0" applyNumberFormat="1" applyFont="1" applyFill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horizontal="center" vertical="center"/>
      <protection hidden="1"/>
    </xf>
    <xf numFmtId="9" fontId="3" fillId="0" borderId="26" xfId="0" applyNumberFormat="1" applyFont="1" applyFill="1" applyBorder="1" applyAlignment="1" applyProtection="1">
      <alignment horizontal="center"/>
      <protection hidden="1"/>
    </xf>
    <xf numFmtId="9" fontId="3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3" fillId="0" borderId="6" xfId="0" applyNumberFormat="1" applyFont="1" applyFill="1" applyBorder="1" applyAlignment="1" applyProtection="1">
      <alignment horizontal="center" vertical="center"/>
      <protection hidden="1"/>
    </xf>
    <xf numFmtId="1" fontId="7" fillId="3" borderId="33" xfId="0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8" fillId="0" borderId="25" xfId="0" applyFont="1" applyBorder="1" applyAlignment="1">
      <alignment vertical="center"/>
    </xf>
    <xf numFmtId="9" fontId="3" fillId="0" borderId="28" xfId="0" applyNumberFormat="1" applyFont="1" applyFill="1" applyBorder="1" applyAlignment="1">
      <alignment horizontal="left" vertical="center"/>
    </xf>
    <xf numFmtId="9" fontId="3" fillId="0" borderId="28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>
      <alignment vertical="center"/>
    </xf>
    <xf numFmtId="9" fontId="3" fillId="0" borderId="28" xfId="0" applyNumberFormat="1" applyFont="1" applyFill="1" applyBorder="1" applyAlignment="1">
      <alignment horizontal="center" vertical="center"/>
    </xf>
    <xf numFmtId="10" fontId="3" fillId="0" borderId="6" xfId="1" applyNumberFormat="1" applyFont="1" applyFill="1" applyBorder="1" applyAlignment="1" applyProtection="1">
      <alignment horizontal="center" vertical="center"/>
      <protection hidden="1"/>
    </xf>
    <xf numFmtId="9" fontId="3" fillId="0" borderId="8" xfId="0" applyNumberFormat="1" applyFont="1" applyFill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vertical="center"/>
      <protection hidden="1"/>
    </xf>
    <xf numFmtId="2" fontId="13" fillId="0" borderId="0" xfId="0" applyNumberFormat="1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0" fontId="13" fillId="0" borderId="0" xfId="1" applyNumberFormat="1" applyFont="1" applyBorder="1" applyAlignment="1">
      <alignment horizontal="left"/>
    </xf>
    <xf numFmtId="168" fontId="0" fillId="0" borderId="20" xfId="0" applyNumberFormat="1" applyFill="1" applyBorder="1" applyAlignment="1">
      <alignment horizontal="center"/>
    </xf>
    <xf numFmtId="0" fontId="3" fillId="0" borderId="0" xfId="0" applyFont="1" applyProtection="1">
      <protection hidden="1"/>
    </xf>
    <xf numFmtId="0" fontId="13" fillId="4" borderId="0" xfId="0" applyFont="1" applyFill="1" applyAlignment="1" applyProtection="1">
      <alignment horizontal="center" vertical="top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167" fontId="7" fillId="3" borderId="18" xfId="0" applyNumberFormat="1" applyFont="1" applyFill="1" applyBorder="1" applyAlignment="1" applyProtection="1">
      <alignment horizontal="center" vertical="center"/>
      <protection hidden="1"/>
    </xf>
    <xf numFmtId="167" fontId="3" fillId="3" borderId="18" xfId="0" applyNumberFormat="1" applyFont="1" applyFill="1" applyBorder="1" applyAlignment="1" applyProtection="1">
      <alignment horizontal="center" vertical="center"/>
      <protection hidden="1"/>
    </xf>
    <xf numFmtId="167" fontId="3" fillId="3" borderId="19" xfId="0" applyNumberFormat="1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167" fontId="3" fillId="3" borderId="15" xfId="0" applyNumberFormat="1" applyFont="1" applyFill="1" applyBorder="1" applyAlignment="1" applyProtection="1">
      <alignment horizontal="center" vertical="center"/>
      <protection hidden="1"/>
    </xf>
    <xf numFmtId="167" fontId="3" fillId="3" borderId="16" xfId="0" applyNumberFormat="1" applyFont="1" applyFill="1" applyBorder="1" applyAlignment="1" applyProtection="1">
      <alignment horizontal="center" vertical="center"/>
      <protection hidden="1"/>
    </xf>
    <xf numFmtId="165" fontId="3" fillId="0" borderId="0" xfId="4" applyFont="1" applyProtection="1">
      <protection hidden="1"/>
    </xf>
    <xf numFmtId="0" fontId="7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28" fillId="4" borderId="0" xfId="0" applyFont="1" applyFill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hidden="1"/>
    </xf>
    <xf numFmtId="10" fontId="28" fillId="0" borderId="0" xfId="1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left" vertical="center"/>
      <protection hidden="1"/>
    </xf>
    <xf numFmtId="165" fontId="13" fillId="0" borderId="0" xfId="4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locked="0" hidden="1"/>
    </xf>
    <xf numFmtId="165" fontId="13" fillId="0" borderId="0" xfId="4" applyFont="1" applyBorder="1" applyAlignment="1">
      <alignment vertical="center"/>
    </xf>
    <xf numFmtId="164" fontId="13" fillId="0" borderId="0" xfId="0" applyNumberFormat="1" applyFont="1" applyBorder="1" applyAlignment="1">
      <alignment horizontal="left" vertical="center"/>
    </xf>
    <xf numFmtId="165" fontId="13" fillId="0" borderId="0" xfId="4" applyFont="1" applyBorder="1"/>
    <xf numFmtId="164" fontId="13" fillId="0" borderId="0" xfId="0" applyNumberFormat="1" applyFont="1" applyBorder="1" applyAlignment="1">
      <alignment horizontal="left"/>
    </xf>
    <xf numFmtId="165" fontId="13" fillId="0" borderId="0" xfId="4" applyFont="1"/>
    <xf numFmtId="164" fontId="13" fillId="0" borderId="0" xfId="0" applyNumberFormat="1" applyFont="1" applyAlignment="1">
      <alignment horizontal="left"/>
    </xf>
    <xf numFmtId="0" fontId="30" fillId="0" borderId="0" xfId="0" applyFont="1" applyProtection="1">
      <protection hidden="1"/>
    </xf>
    <xf numFmtId="0" fontId="29" fillId="0" borderId="0" xfId="0" applyFont="1" applyProtection="1">
      <protection hidden="1"/>
    </xf>
    <xf numFmtId="9" fontId="13" fillId="0" borderId="0" xfId="1" applyFont="1" applyProtection="1">
      <protection hidden="1"/>
    </xf>
    <xf numFmtId="0" fontId="13" fillId="0" borderId="0" xfId="0" applyFont="1" applyFill="1" applyProtection="1">
      <protection hidden="1"/>
    </xf>
    <xf numFmtId="3" fontId="3" fillId="0" borderId="0" xfId="0" applyNumberFormat="1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Fill="1" applyProtection="1">
      <protection locked="0" hidden="1"/>
    </xf>
    <xf numFmtId="0" fontId="1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10" fontId="3" fillId="11" borderId="10" xfId="0" applyNumberFormat="1" applyFont="1" applyFill="1" applyBorder="1" applyAlignment="1" applyProtection="1">
      <alignment horizontal="center" vertical="center"/>
      <protection locked="0"/>
    </xf>
    <xf numFmtId="0" fontId="31" fillId="11" borderId="34" xfId="0" applyFont="1" applyFill="1" applyBorder="1" applyAlignment="1" applyProtection="1">
      <alignment vertical="center"/>
      <protection locked="0" hidden="1"/>
    </xf>
    <xf numFmtId="0" fontId="31" fillId="11" borderId="34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2" fontId="13" fillId="0" borderId="0" xfId="0" applyNumberFormat="1" applyFont="1" applyProtection="1">
      <protection hidden="1"/>
    </xf>
    <xf numFmtId="0" fontId="3" fillId="0" borderId="32" xfId="0" applyFont="1" applyBorder="1" applyAlignment="1" applyProtection="1">
      <alignment horizontal="left" indent="3"/>
      <protection hidden="1"/>
    </xf>
    <xf numFmtId="0" fontId="3" fillId="0" borderId="4" xfId="0" applyFont="1" applyBorder="1" applyAlignment="1" applyProtection="1">
      <alignment horizontal="left" indent="3"/>
      <protection hidden="1"/>
    </xf>
    <xf numFmtId="0" fontId="3" fillId="0" borderId="7" xfId="0" applyFont="1" applyBorder="1" applyAlignment="1" applyProtection="1">
      <alignment horizontal="left" indent="3"/>
      <protection hidden="1"/>
    </xf>
    <xf numFmtId="0" fontId="3" fillId="0" borderId="4" xfId="0" applyFont="1" applyBorder="1" applyAlignment="1" applyProtection="1">
      <alignment horizontal="left" vertical="center" indent="3"/>
      <protection hidden="1"/>
    </xf>
    <xf numFmtId="0" fontId="3" fillId="0" borderId="4" xfId="0" applyFont="1" applyFill="1" applyBorder="1" applyAlignment="1" applyProtection="1">
      <alignment horizontal="left" vertical="center" indent="3"/>
      <protection hidden="1"/>
    </xf>
    <xf numFmtId="0" fontId="3" fillId="0" borderId="36" xfId="0" applyFont="1" applyBorder="1" applyAlignment="1" applyProtection="1">
      <alignment horizontal="left" vertical="center" indent="3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3" fontId="3" fillId="0" borderId="38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" fontId="31" fillId="12" borderId="0" xfId="0" applyNumberFormat="1" applyFont="1" applyFill="1" applyBorder="1" applyAlignment="1" applyProtection="1">
      <alignment horizontal="center" vertical="center"/>
      <protection locked="0" hidden="1"/>
    </xf>
    <xf numFmtId="10" fontId="7" fillId="11" borderId="11" xfId="0" applyNumberFormat="1" applyFont="1" applyFill="1" applyBorder="1" applyAlignment="1" applyProtection="1">
      <alignment horizontal="center" vertical="center"/>
      <protection locked="0" hidden="1"/>
    </xf>
    <xf numFmtId="3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/>
    <xf numFmtId="0" fontId="35" fillId="0" borderId="0" xfId="0" applyFont="1"/>
    <xf numFmtId="0" fontId="37" fillId="0" borderId="0" xfId="0" applyFont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6" fillId="9" borderId="20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41" xfId="0" applyFont="1" applyBorder="1" applyAlignment="1" applyProtection="1">
      <alignment vertical="center"/>
      <protection hidden="1"/>
    </xf>
    <xf numFmtId="1" fontId="7" fillId="11" borderId="34" xfId="0" applyNumberFormat="1" applyFont="1" applyFill="1" applyBorder="1" applyAlignment="1" applyProtection="1">
      <alignment horizontal="center" vertical="center"/>
      <protection locked="0"/>
    </xf>
    <xf numFmtId="9" fontId="3" fillId="11" borderId="6" xfId="1" applyFont="1" applyFill="1" applyBorder="1" applyAlignment="1" applyProtection="1">
      <alignment horizontal="center" vertical="center"/>
      <protection locked="0" hidden="1"/>
    </xf>
    <xf numFmtId="3" fontId="31" fillId="11" borderId="6" xfId="0" applyNumberFormat="1" applyFont="1" applyFill="1" applyBorder="1" applyAlignment="1" applyProtection="1">
      <alignment horizontal="center" vertical="center"/>
      <protection locked="0" hidden="1"/>
    </xf>
    <xf numFmtId="168" fontId="3" fillId="11" borderId="30" xfId="0" applyNumberFormat="1" applyFont="1" applyFill="1" applyBorder="1" applyAlignment="1" applyProtection="1">
      <alignment horizontal="center" vertical="center"/>
      <protection locked="0" hidden="1"/>
    </xf>
    <xf numFmtId="1" fontId="3" fillId="11" borderId="10" xfId="0" applyNumberFormat="1" applyFont="1" applyFill="1" applyBorder="1" applyAlignment="1" applyProtection="1">
      <alignment horizontal="center" vertical="center"/>
      <protection locked="0"/>
    </xf>
    <xf numFmtId="166" fontId="3" fillId="11" borderId="10" xfId="0" applyNumberFormat="1" applyFont="1" applyFill="1" applyBorder="1" applyAlignment="1" applyProtection="1">
      <alignment horizontal="center" vertical="center"/>
      <protection locked="0"/>
    </xf>
    <xf numFmtId="3" fontId="3" fillId="11" borderId="10" xfId="0" applyNumberFormat="1" applyFont="1" applyFill="1" applyBorder="1" applyAlignment="1" applyProtection="1">
      <alignment horizontal="center" vertical="center"/>
      <protection locked="0"/>
    </xf>
    <xf numFmtId="3" fontId="3" fillId="11" borderId="6" xfId="0" applyNumberFormat="1" applyFont="1" applyFill="1" applyBorder="1" applyAlignment="1" applyProtection="1">
      <alignment horizontal="center" vertical="center"/>
      <protection locked="0"/>
    </xf>
    <xf numFmtId="1" fontId="7" fillId="11" borderId="10" xfId="0" applyNumberFormat="1" applyFont="1" applyFill="1" applyBorder="1" applyAlignment="1" applyProtection="1">
      <alignment horizontal="center" vertical="center"/>
      <protection locked="0"/>
    </xf>
    <xf numFmtId="10" fontId="3" fillId="0" borderId="6" xfId="1" applyNumberFormat="1" applyFont="1" applyFill="1" applyBorder="1" applyAlignment="1" applyProtection="1">
      <alignment horizontal="center" vertical="center"/>
      <protection locked="0" hidden="1"/>
    </xf>
    <xf numFmtId="9" fontId="3" fillId="3" borderId="6" xfId="1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 indent="3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left" vertical="center" indent="3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4" fontId="6" fillId="0" borderId="9" xfId="1" applyNumberFormat="1" applyFont="1" applyFill="1" applyBorder="1" applyAlignment="1" applyProtection="1">
      <alignment horizontal="center" vertical="center"/>
      <protection hidden="1"/>
    </xf>
    <xf numFmtId="10" fontId="6" fillId="0" borderId="6" xfId="1" applyNumberFormat="1" applyFont="1" applyFill="1" applyBorder="1" applyAlignment="1" applyProtection="1">
      <alignment horizontal="center" vertical="center"/>
      <protection hidden="1"/>
    </xf>
    <xf numFmtId="10" fontId="36" fillId="0" borderId="0" xfId="0" applyNumberFormat="1" applyFont="1" applyAlignment="1" applyProtection="1">
      <alignment horizontal="left" vertical="center"/>
      <protection hidden="1"/>
    </xf>
    <xf numFmtId="173" fontId="36" fillId="0" borderId="0" xfId="1" applyNumberFormat="1" applyFont="1" applyAlignment="1" applyProtection="1">
      <alignment horizontal="left" vertical="center"/>
      <protection hidden="1"/>
    </xf>
    <xf numFmtId="0" fontId="36" fillId="0" borderId="0" xfId="0" applyFont="1" applyAlignment="1">
      <alignment horizontal="left" vertical="center"/>
    </xf>
    <xf numFmtId="0" fontId="36" fillId="0" borderId="0" xfId="0" applyFont="1" applyFill="1" applyAlignment="1" applyProtection="1">
      <alignment horizontal="left" vertical="center"/>
      <protection hidden="1"/>
    </xf>
    <xf numFmtId="3" fontId="36" fillId="0" borderId="0" xfId="0" applyNumberFormat="1" applyFont="1" applyFill="1" applyBorder="1" applyAlignment="1" applyProtection="1">
      <alignment horizontal="left" vertical="center"/>
      <protection hidden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 wrapText="1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7" fillId="0" borderId="27" xfId="0" applyFont="1" applyBorder="1" applyAlignment="1">
      <alignment horizontal="left" vertical="center" wrapText="1"/>
    </xf>
    <xf numFmtId="165" fontId="36" fillId="0" borderId="0" xfId="4" applyFont="1" applyAlignment="1" applyProtection="1">
      <alignment horizontal="left" vertical="center"/>
      <protection hidden="1"/>
    </xf>
    <xf numFmtId="10" fontId="38" fillId="0" borderId="0" xfId="0" applyNumberFormat="1" applyFont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11" fillId="0" borderId="2" xfId="0" applyFont="1" applyBorder="1" applyAlignment="1" applyProtection="1">
      <alignment vertical="center" wrapText="1"/>
      <protection hidden="1"/>
    </xf>
    <xf numFmtId="0" fontId="11" fillId="0" borderId="3" xfId="0" applyFont="1" applyBorder="1" applyAlignment="1" applyProtection="1">
      <alignment vertical="center" wrapText="1"/>
      <protection hidden="1"/>
    </xf>
    <xf numFmtId="0" fontId="33" fillId="0" borderId="0" xfId="0" applyFont="1" applyAlignment="1">
      <alignment horizontal="left" vertical="center" wrapText="1"/>
    </xf>
    <xf numFmtId="3" fontId="3" fillId="12" borderId="21" xfId="0" applyNumberFormat="1" applyFont="1" applyFill="1" applyBorder="1" applyAlignment="1">
      <alignment horizontal="center" vertical="center"/>
    </xf>
    <xf numFmtId="3" fontId="3" fillId="12" borderId="22" xfId="0" applyNumberFormat="1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39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32" fillId="12" borderId="40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Alignment="1" applyProtection="1">
      <alignment horizontal="center"/>
      <protection locked="0" hidden="1"/>
    </xf>
    <xf numFmtId="168" fontId="7" fillId="12" borderId="41" xfId="1" applyNumberFormat="1" applyFont="1" applyFill="1" applyBorder="1" applyAlignment="1" applyProtection="1">
      <alignment horizontal="center" vertical="center"/>
      <protection locked="0" hidden="1"/>
    </xf>
  </cellXfs>
  <cellStyles count="10">
    <cellStyle name="Normal 2" xfId="3"/>
    <cellStyle name="Обычный" xfId="0" builtinId="0"/>
    <cellStyle name="Обычный 2" xfId="2"/>
    <cellStyle name="Обычный 2 2" xfId="8"/>
    <cellStyle name="Обычный 3" xfId="5"/>
    <cellStyle name="Процентный" xfId="1" builtinId="5"/>
    <cellStyle name="Процентный 2" xfId="6"/>
    <cellStyle name="Процентный 3" xfId="9"/>
    <cellStyle name="Финансовый" xfId="4" builtinId="3"/>
    <cellStyle name="Финансовый 2" xfId="7"/>
  </cellStyles>
  <dxfs count="28"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border>
        <top style="thin">
          <color auto="1"/>
        </top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border>
        <bottom style="thin">
          <color auto="1"/>
        </bottom>
        <vertical/>
        <horizontal/>
      </border>
    </dxf>
    <dxf>
      <font>
        <color theme="0"/>
      </font>
    </dxf>
    <dxf>
      <font>
        <b/>
        <i val="0"/>
        <color rgb="FFFF0000"/>
      </font>
    </dxf>
    <dxf>
      <font>
        <color rgb="FFC00000"/>
      </font>
    </dxf>
  </dxfs>
  <tableStyles count="0" defaultTableStyle="TableStyleMedium2" defaultPivotStyle="PivotStyleLight16"/>
  <colors>
    <mruColors>
      <color rgb="FFFFB9BE"/>
      <color rgb="FF004BC4"/>
      <color rgb="FFFE98A2"/>
      <color rgb="FFFF9BA5"/>
      <color rgb="FFFFB7BE"/>
      <color rgb="FFFFC5CB"/>
      <color rgb="FFFF9FA1"/>
      <color rgb="FFFF5055"/>
      <color rgb="FF00379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J$25" lockText="1" noThreeD="1"/>
</file>

<file path=xl/ctrlProps/ctrlProp2.xml><?xml version="1.0" encoding="utf-8"?>
<formControlPr xmlns="http://schemas.microsoft.com/office/spreadsheetml/2009/9/main" objectType="CheckBox" fmlaLink="$J$21" lockText="1" noThreeD="1"/>
</file>

<file path=xl/ctrlProps/ctrlProp3.xml><?xml version="1.0" encoding="utf-8"?>
<formControlPr xmlns="http://schemas.microsoft.com/office/spreadsheetml/2009/9/main" objectType="CheckBox" fmlaLink="$J$29" lockText="1" noThreeD="1"/>
</file>

<file path=xl/ctrlProps/ctrlProp4.xml><?xml version="1.0" encoding="utf-8"?>
<formControlPr xmlns="http://schemas.microsoft.com/office/spreadsheetml/2009/9/main" objectType="CheckBox" fmlaLink="$J$23" lockText="1" noThreeD="1"/>
</file>

<file path=xl/ctrlProps/ctrlProp5.xml><?xml version="1.0" encoding="utf-8"?>
<formControlPr xmlns="http://schemas.microsoft.com/office/spreadsheetml/2009/9/main" objectType="CheckBox" fmlaLink="$C$7" lockText="1" noThreeD="1"/>
</file>

<file path=xl/ctrlProps/ctrlProp6.xml><?xml version="1.0" encoding="utf-8"?>
<formControlPr xmlns="http://schemas.microsoft.com/office/spreadsheetml/2009/9/main" objectType="CheckBox" fmlaLink="$C$6" lockText="1" noThreeD="1"/>
</file>

<file path=xl/ctrlProps/ctrlProp7.xml><?xml version="1.0" encoding="utf-8"?>
<formControlPr xmlns="http://schemas.microsoft.com/office/spreadsheetml/2009/9/main" objectType="CheckBox" checked="Checked" fmlaLink="$C$9" lockText="1" noThreeD="1"/>
</file>

<file path=xl/ctrlProps/ctrlProp8.xml><?xml version="1.0" encoding="utf-8"?>
<formControlPr xmlns="http://schemas.microsoft.com/office/spreadsheetml/2009/9/main" objectType="CheckBox" fmlaLink="$C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112060</xdr:colOff>
      <xdr:row>0</xdr:row>
      <xdr:rowOff>9525</xdr:rowOff>
    </xdr:from>
    <xdr:to>
      <xdr:col>4</xdr:col>
      <xdr:colOff>1884</xdr:colOff>
      <xdr:row>1</xdr:row>
      <xdr:rowOff>100965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0" y="9525"/>
          <a:ext cx="3397265" cy="7974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1285875</xdr:colOff>
          <xdr:row>24</xdr:row>
          <xdr:rowOff>0</xdr:rowOff>
        </xdr:from>
        <xdr:to>
          <xdr:col>9</xdr:col>
          <xdr:colOff>1819275</xdr:colOff>
          <xdr:row>25</xdr:row>
          <xdr:rowOff>9525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1285875</xdr:colOff>
          <xdr:row>20</xdr:row>
          <xdr:rowOff>0</xdr:rowOff>
        </xdr:from>
        <xdr:to>
          <xdr:col>9</xdr:col>
          <xdr:colOff>1819275</xdr:colOff>
          <xdr:row>20</xdr:row>
          <xdr:rowOff>180975</xdr:rowOff>
        </xdr:to>
        <xdr:sp macro="" textlink="">
          <xdr:nvSpPr>
            <xdr:cNvPr id="1769" name="Check Box 745" descr="&#10;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1285875</xdr:colOff>
          <xdr:row>28</xdr:row>
          <xdr:rowOff>19050</xdr:rowOff>
        </xdr:from>
        <xdr:to>
          <xdr:col>9</xdr:col>
          <xdr:colOff>1819275</xdr:colOff>
          <xdr:row>28</xdr:row>
          <xdr:rowOff>180975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1285875</xdr:colOff>
          <xdr:row>22</xdr:row>
          <xdr:rowOff>9525</xdr:rowOff>
        </xdr:from>
        <xdr:to>
          <xdr:col>9</xdr:col>
          <xdr:colOff>1819275</xdr:colOff>
          <xdr:row>23</xdr:row>
          <xdr:rowOff>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6</xdr:row>
          <xdr:rowOff>9525</xdr:rowOff>
        </xdr:from>
        <xdr:to>
          <xdr:col>3</xdr:col>
          <xdr:colOff>9525</xdr:colOff>
          <xdr:row>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5</xdr:row>
          <xdr:rowOff>19050</xdr:rowOff>
        </xdr:from>
        <xdr:to>
          <xdr:col>3</xdr:col>
          <xdr:colOff>76200</xdr:colOff>
          <xdr:row>6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152400</xdr:rowOff>
        </xdr:from>
        <xdr:to>
          <xdr:col>0</xdr:col>
          <xdr:colOff>66675</xdr:colOff>
          <xdr:row>9</xdr:row>
          <xdr:rowOff>95250</xdr:rowOff>
        </xdr:to>
        <xdr:sp macro="" textlink="">
          <xdr:nvSpPr>
            <xdr:cNvPr id="2079" name="Check Box 31" descr="&#10;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</xdr:row>
          <xdr:rowOff>9525</xdr:rowOff>
        </xdr:from>
        <xdr:to>
          <xdr:col>0</xdr:col>
          <xdr:colOff>76200</xdr:colOff>
          <xdr:row>10</xdr:row>
          <xdr:rowOff>123825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DC323C"/>
  </sheetPr>
  <dimension ref="A1:AV55"/>
  <sheetViews>
    <sheetView showGridLines="0" topLeftCell="AC1" zoomScale="110" zoomScaleNormal="110" workbookViewId="0">
      <pane ySplit="1" topLeftCell="A2" activePane="bottomLeft" state="frozen"/>
      <selection pane="bottomLeft" activeCell="AN21" sqref="AN21"/>
    </sheetView>
  </sheetViews>
  <sheetFormatPr defaultRowHeight="15" x14ac:dyDescent="0.25"/>
  <cols>
    <col min="1" max="1" width="40.28515625" style="38" bestFit="1" customWidth="1"/>
    <col min="2" max="2" width="26.7109375" style="38" customWidth="1"/>
    <col min="3" max="3" width="33.7109375" style="38" customWidth="1"/>
    <col min="4" max="4" width="7.28515625" style="38" customWidth="1"/>
    <col min="5" max="5" width="7.42578125" style="38" customWidth="1"/>
    <col min="6" max="6" width="9.140625" style="38" customWidth="1"/>
    <col min="7" max="7" width="10.140625" style="38" customWidth="1"/>
    <col min="8" max="8" width="11.28515625" style="38" customWidth="1"/>
    <col min="9" max="9" width="9.42578125" style="38" customWidth="1"/>
    <col min="10" max="10" width="11.7109375" style="38" customWidth="1"/>
    <col min="11" max="12" width="12.42578125" style="38" customWidth="1"/>
    <col min="13" max="13" width="5.7109375" style="38" customWidth="1"/>
    <col min="14" max="14" width="8.5703125" style="38" customWidth="1"/>
    <col min="15" max="15" width="15.140625" style="38" customWidth="1"/>
    <col min="16" max="16" width="16.42578125" style="38" customWidth="1"/>
    <col min="17" max="17" width="8.5703125" style="38" customWidth="1"/>
    <col min="18" max="18" width="40.28515625" style="38" bestFit="1" customWidth="1"/>
    <col min="19" max="19" width="26.7109375" style="38" bestFit="1" customWidth="1"/>
    <col min="20" max="20" width="8.42578125" style="38" customWidth="1"/>
    <col min="21" max="21" width="40.28515625" style="38" bestFit="1" customWidth="1"/>
    <col min="22" max="22" width="9.5703125" style="38" customWidth="1"/>
    <col min="23" max="26" width="7.140625" style="38" bestFit="1" customWidth="1"/>
    <col min="27" max="27" width="7.5703125" style="38" customWidth="1"/>
    <col min="28" max="28" width="40.28515625" style="38" bestFit="1" customWidth="1"/>
    <col min="29" max="29" width="10.28515625" style="38" customWidth="1"/>
    <col min="30" max="30" width="8.85546875" style="38" customWidth="1"/>
    <col min="31" max="34" width="7.7109375" style="38" customWidth="1"/>
    <col min="35" max="35" width="8" style="38" customWidth="1"/>
    <col min="36" max="36" width="10.140625" style="38" customWidth="1"/>
    <col min="37" max="37" width="9.85546875" style="38" customWidth="1"/>
    <col min="38" max="38" width="7.7109375" style="38" customWidth="1"/>
    <col min="39" max="39" width="34" style="38" bestFit="1" customWidth="1"/>
    <col min="40" max="40" width="9.5703125" style="38" customWidth="1"/>
    <col min="41" max="47" width="9.140625" style="38"/>
    <col min="48" max="48" width="12.28515625" style="38" customWidth="1"/>
    <col min="49" max="16384" width="9.140625" style="38"/>
  </cols>
  <sheetData>
    <row r="1" spans="1:48" s="21" customFormat="1" ht="60" x14ac:dyDescent="0.25">
      <c r="A1" s="58" t="s">
        <v>25</v>
      </c>
      <c r="B1" s="58" t="s">
        <v>26</v>
      </c>
      <c r="C1" s="58" t="s">
        <v>1</v>
      </c>
      <c r="D1" s="58" t="s">
        <v>27</v>
      </c>
      <c r="E1" s="58" t="s">
        <v>28</v>
      </c>
      <c r="F1" s="59" t="s">
        <v>15</v>
      </c>
      <c r="G1" s="58" t="s">
        <v>20</v>
      </c>
      <c r="H1" s="58" t="s">
        <v>29</v>
      </c>
      <c r="I1" s="58" t="s">
        <v>48</v>
      </c>
      <c r="J1" s="58" t="s">
        <v>37</v>
      </c>
      <c r="K1" s="58" t="s">
        <v>40</v>
      </c>
      <c r="L1" s="59" t="s">
        <v>42</v>
      </c>
      <c r="M1" s="58" t="s">
        <v>43</v>
      </c>
      <c r="N1" s="58" t="s">
        <v>49</v>
      </c>
      <c r="O1" s="58" t="s">
        <v>55</v>
      </c>
      <c r="P1" s="58" t="s">
        <v>57</v>
      </c>
      <c r="R1" s="58" t="s">
        <v>25</v>
      </c>
      <c r="S1" s="58" t="s">
        <v>26</v>
      </c>
      <c r="U1" s="58" t="s">
        <v>25</v>
      </c>
      <c r="V1" s="58" t="s">
        <v>3</v>
      </c>
      <c r="W1" s="58">
        <v>6</v>
      </c>
      <c r="X1" s="58">
        <v>12</v>
      </c>
      <c r="Y1" s="58">
        <v>18</v>
      </c>
      <c r="Z1" s="58">
        <v>24</v>
      </c>
      <c r="AB1" s="59" t="s">
        <v>25</v>
      </c>
      <c r="AC1" s="59" t="s">
        <v>7</v>
      </c>
      <c r="AD1" s="59" t="s">
        <v>8</v>
      </c>
      <c r="AF1" s="59" t="s">
        <v>79</v>
      </c>
      <c r="AG1" s="59" t="s">
        <v>63</v>
      </c>
      <c r="AI1" s="59" t="s">
        <v>80</v>
      </c>
      <c r="AJ1" s="59" t="s">
        <v>81</v>
      </c>
      <c r="AK1" s="59" t="s">
        <v>82</v>
      </c>
      <c r="AM1" s="58" t="s">
        <v>25</v>
      </c>
      <c r="AN1" s="59" t="s">
        <v>67</v>
      </c>
      <c r="AO1" s="58">
        <v>12</v>
      </c>
      <c r="AP1" s="58">
        <v>24</v>
      </c>
      <c r="AQ1" s="58">
        <v>36</v>
      </c>
      <c r="AR1" s="58">
        <v>48</v>
      </c>
      <c r="AS1" s="58">
        <v>60</v>
      </c>
      <c r="AU1" s="58" t="s">
        <v>95</v>
      </c>
      <c r="AV1" s="58" t="s">
        <v>96</v>
      </c>
    </row>
    <row r="2" spans="1:48" x14ac:dyDescent="0.25">
      <c r="A2" s="32" t="s">
        <v>5</v>
      </c>
      <c r="B2" s="32" t="s">
        <v>14</v>
      </c>
      <c r="C2" s="32" t="s">
        <v>17</v>
      </c>
      <c r="D2" s="34">
        <v>0.85</v>
      </c>
      <c r="E2" s="34">
        <v>0</v>
      </c>
      <c r="F2" s="35">
        <v>0.1799</v>
      </c>
      <c r="G2" s="35">
        <v>-5.0000000000000001E-3</v>
      </c>
      <c r="H2" s="35" t="b">
        <v>0</v>
      </c>
      <c r="I2" s="35"/>
      <c r="J2" s="36">
        <v>0.85</v>
      </c>
      <c r="K2" s="37">
        <v>50000000</v>
      </c>
      <c r="L2" s="37">
        <v>300000</v>
      </c>
      <c r="M2" s="37">
        <v>3</v>
      </c>
      <c r="N2" s="35"/>
      <c r="O2" s="35"/>
      <c r="P2" s="35"/>
      <c r="R2" s="32" t="s">
        <v>5</v>
      </c>
      <c r="S2" s="32" t="s">
        <v>14</v>
      </c>
      <c r="U2" s="32" t="s">
        <v>5</v>
      </c>
      <c r="V2" s="32"/>
      <c r="W2" s="32"/>
      <c r="X2" s="32"/>
      <c r="Y2" s="32"/>
      <c r="Z2" s="32"/>
      <c r="AB2" s="32" t="s">
        <v>5</v>
      </c>
      <c r="AC2" s="35">
        <v>0</v>
      </c>
      <c r="AD2" s="35">
        <v>0</v>
      </c>
      <c r="AF2" s="32" t="s">
        <v>79</v>
      </c>
      <c r="AG2" s="35">
        <v>0.19900000000000001</v>
      </c>
      <c r="AI2" s="32" t="s">
        <v>79</v>
      </c>
      <c r="AJ2" s="35">
        <v>0</v>
      </c>
      <c r="AK2" s="35">
        <v>0</v>
      </c>
      <c r="AM2" s="32" t="s">
        <v>6</v>
      </c>
      <c r="AN2" s="68"/>
      <c r="AO2" s="68">
        <v>0.13900000000000001</v>
      </c>
      <c r="AP2" s="68">
        <v>0.20899999999999999</v>
      </c>
      <c r="AQ2" s="68">
        <v>0.28399999999999997</v>
      </c>
      <c r="AR2" s="68">
        <v>0.35299999999999998</v>
      </c>
      <c r="AS2" s="68">
        <v>0.42099999999999999</v>
      </c>
      <c r="AU2" s="118">
        <v>0</v>
      </c>
      <c r="AV2" s="118">
        <v>0.01</v>
      </c>
    </row>
    <row r="3" spans="1:48" x14ac:dyDescent="0.25">
      <c r="A3" s="32" t="s">
        <v>5</v>
      </c>
      <c r="B3" s="32" t="s">
        <v>14</v>
      </c>
      <c r="C3" s="32" t="s">
        <v>17</v>
      </c>
      <c r="D3" s="34">
        <v>0.85</v>
      </c>
      <c r="E3" s="34">
        <v>0</v>
      </c>
      <c r="F3" s="35">
        <v>0.1799</v>
      </c>
      <c r="G3" s="35">
        <v>-5.0000000000000001E-3</v>
      </c>
      <c r="H3" s="35" t="b">
        <v>1</v>
      </c>
      <c r="I3" s="35"/>
      <c r="J3" s="36">
        <v>0.85</v>
      </c>
      <c r="K3" s="37">
        <v>50000000</v>
      </c>
      <c r="L3" s="37">
        <v>300000</v>
      </c>
      <c r="M3" s="37">
        <v>3</v>
      </c>
      <c r="N3" s="35"/>
      <c r="O3" s="35"/>
      <c r="P3" s="35"/>
      <c r="R3" s="32" t="s">
        <v>5</v>
      </c>
      <c r="S3" s="32" t="s">
        <v>24</v>
      </c>
      <c r="U3" s="32" t="s">
        <v>6</v>
      </c>
      <c r="V3" s="69"/>
      <c r="W3" s="69"/>
      <c r="X3" s="69"/>
      <c r="Y3" s="69"/>
      <c r="Z3" s="69"/>
      <c r="AA3" s="39"/>
      <c r="AB3" s="32" t="s">
        <v>5</v>
      </c>
      <c r="AC3" s="35">
        <v>0.05</v>
      </c>
      <c r="AD3" s="35">
        <v>-0.02</v>
      </c>
      <c r="AF3" s="32" t="s">
        <v>79</v>
      </c>
      <c r="AG3" s="35">
        <v>0.249</v>
      </c>
      <c r="AI3" s="32" t="s">
        <v>79</v>
      </c>
      <c r="AJ3" s="35">
        <v>0.05</v>
      </c>
      <c r="AK3" s="35">
        <v>-1.9099999999999999E-2</v>
      </c>
      <c r="AM3" s="32" t="s">
        <v>10</v>
      </c>
      <c r="AN3" s="68"/>
      <c r="AO3" s="68">
        <v>0.13300000000000001</v>
      </c>
      <c r="AP3" s="68">
        <v>0.187</v>
      </c>
      <c r="AQ3" s="68">
        <v>0.22900000000000001</v>
      </c>
      <c r="AR3" s="68">
        <v>0.29199999999999998</v>
      </c>
      <c r="AS3" s="68">
        <v>0.35199999999999998</v>
      </c>
      <c r="AU3" s="118">
        <v>5.0000000000000001E-3</v>
      </c>
      <c r="AV3" s="118">
        <v>0</v>
      </c>
    </row>
    <row r="4" spans="1:48" x14ac:dyDescent="0.25">
      <c r="A4" s="32" t="s">
        <v>5</v>
      </c>
      <c r="B4" s="32" t="s">
        <v>24</v>
      </c>
      <c r="C4" s="32" t="s">
        <v>17</v>
      </c>
      <c r="D4" s="34">
        <v>0.85</v>
      </c>
      <c r="E4" s="34">
        <v>0</v>
      </c>
      <c r="F4" s="35">
        <v>0.1799</v>
      </c>
      <c r="G4" s="35">
        <v>-5.0000000000000001E-3</v>
      </c>
      <c r="H4" s="35" t="b">
        <v>0</v>
      </c>
      <c r="I4" s="35"/>
      <c r="J4" s="36">
        <v>0.85</v>
      </c>
      <c r="K4" s="37">
        <v>50000000</v>
      </c>
      <c r="L4" s="37">
        <v>300000</v>
      </c>
      <c r="M4" s="37">
        <v>3</v>
      </c>
      <c r="N4" s="35"/>
      <c r="O4" s="35"/>
      <c r="P4" s="35"/>
      <c r="R4" s="32" t="s">
        <v>5</v>
      </c>
      <c r="S4" s="32" t="s">
        <v>30</v>
      </c>
      <c r="U4" s="32" t="s">
        <v>10</v>
      </c>
      <c r="V4" s="93">
        <v>0.37</v>
      </c>
      <c r="W4" s="91">
        <v>0.40399999999999997</v>
      </c>
      <c r="X4" s="91">
        <v>0.43700000000000006</v>
      </c>
      <c r="Y4" s="91">
        <v>0.47800000000000004</v>
      </c>
      <c r="Z4" s="91">
        <v>0.51800000000000002</v>
      </c>
      <c r="AA4" s="39"/>
      <c r="AB4" s="32" t="s">
        <v>5</v>
      </c>
      <c r="AC4" s="35">
        <v>7.0000000000000007E-2</v>
      </c>
      <c r="AD4" s="35">
        <v>-2.7400000000000001E-2</v>
      </c>
      <c r="AF4" s="32" t="s">
        <v>79</v>
      </c>
      <c r="AG4" s="35">
        <v>0.26900000000000002</v>
      </c>
      <c r="AI4" s="32" t="s">
        <v>79</v>
      </c>
      <c r="AJ4" s="35">
        <v>0.1</v>
      </c>
      <c r="AK4" s="35">
        <v>-3.9100000000000003E-2</v>
      </c>
      <c r="AM4" s="32" t="s">
        <v>47</v>
      </c>
      <c r="AN4" s="68"/>
      <c r="AO4" s="68">
        <v>0.13300000000000001</v>
      </c>
      <c r="AP4" s="68">
        <v>0.187</v>
      </c>
      <c r="AQ4" s="68">
        <v>0.22900000000000001</v>
      </c>
      <c r="AR4" s="68">
        <v>0.29199999999999998</v>
      </c>
      <c r="AS4" s="68">
        <v>0.35199999999999998</v>
      </c>
    </row>
    <row r="5" spans="1:48" x14ac:dyDescent="0.25">
      <c r="A5" s="32" t="s">
        <v>5</v>
      </c>
      <c r="B5" s="32" t="s">
        <v>24</v>
      </c>
      <c r="C5" s="32" t="s">
        <v>17</v>
      </c>
      <c r="D5" s="34">
        <v>0.85</v>
      </c>
      <c r="E5" s="34">
        <v>0</v>
      </c>
      <c r="F5" s="35">
        <v>0.1799</v>
      </c>
      <c r="G5" s="35">
        <v>-5.0000000000000001E-3</v>
      </c>
      <c r="H5" s="35" t="b">
        <v>1</v>
      </c>
      <c r="I5" s="35"/>
      <c r="J5" s="36">
        <v>0.85</v>
      </c>
      <c r="K5" s="37">
        <v>50000000</v>
      </c>
      <c r="L5" s="37">
        <v>300000</v>
      </c>
      <c r="M5" s="37">
        <v>3</v>
      </c>
      <c r="N5" s="35"/>
      <c r="O5" s="35"/>
      <c r="P5" s="35"/>
      <c r="R5" s="32" t="s">
        <v>6</v>
      </c>
      <c r="S5" s="32" t="s">
        <v>14</v>
      </c>
      <c r="U5" s="32" t="s">
        <v>47</v>
      </c>
      <c r="V5" s="93">
        <v>0.37</v>
      </c>
      <c r="W5" s="91">
        <v>0.40399999999999997</v>
      </c>
      <c r="X5" s="91">
        <v>0.43700000000000006</v>
      </c>
      <c r="Y5" s="91">
        <v>0.47800000000000004</v>
      </c>
      <c r="Z5" s="91">
        <v>0.51800000000000002</v>
      </c>
      <c r="AA5" s="39"/>
      <c r="AB5" s="32" t="s">
        <v>5</v>
      </c>
      <c r="AC5" s="35">
        <v>0.11</v>
      </c>
      <c r="AD5" s="35">
        <v>-4.4999999999999998E-2</v>
      </c>
      <c r="AF5" s="32" t="s">
        <v>79</v>
      </c>
      <c r="AG5" s="35">
        <v>0.28399999999999997</v>
      </c>
      <c r="AI5" s="32" t="s">
        <v>79</v>
      </c>
      <c r="AJ5" s="35">
        <v>0.15</v>
      </c>
      <c r="AK5" s="35">
        <v>-5.91E-2</v>
      </c>
      <c r="AM5" s="32" t="s">
        <v>5</v>
      </c>
      <c r="AN5" s="68"/>
      <c r="AO5" s="68">
        <v>0.223</v>
      </c>
      <c r="AP5" s="68">
        <v>0.3695</v>
      </c>
      <c r="AQ5" s="68"/>
      <c r="AR5" s="68"/>
      <c r="AS5" s="68"/>
    </row>
    <row r="6" spans="1:48" x14ac:dyDescent="0.25">
      <c r="A6" s="32" t="s">
        <v>5</v>
      </c>
      <c r="B6" s="71" t="s">
        <v>30</v>
      </c>
      <c r="C6" s="32" t="s">
        <v>50</v>
      </c>
      <c r="D6" s="34">
        <v>0.7</v>
      </c>
      <c r="E6" s="34">
        <v>0</v>
      </c>
      <c r="F6" s="35">
        <v>0.18740000000000001</v>
      </c>
      <c r="G6" s="35"/>
      <c r="H6" s="35" t="b">
        <v>0</v>
      </c>
      <c r="I6" s="35"/>
      <c r="J6" s="34">
        <v>0.7</v>
      </c>
      <c r="K6" s="37">
        <v>50000000</v>
      </c>
      <c r="L6" s="37">
        <v>300000</v>
      </c>
      <c r="M6" s="37">
        <v>3</v>
      </c>
      <c r="N6" s="37"/>
      <c r="O6" s="37"/>
      <c r="P6" s="35"/>
      <c r="R6" s="32" t="s">
        <v>10</v>
      </c>
      <c r="S6" s="32" t="s">
        <v>14</v>
      </c>
      <c r="U6" s="32" t="s">
        <v>38</v>
      </c>
      <c r="V6" s="69"/>
      <c r="W6" s="69"/>
      <c r="X6" s="69"/>
      <c r="Y6" s="69"/>
      <c r="Z6" s="69"/>
      <c r="AA6" s="39"/>
      <c r="AB6" s="32" t="s">
        <v>5</v>
      </c>
      <c r="AC6" s="35">
        <v>0.17</v>
      </c>
      <c r="AD6" s="35">
        <v>-6.5000000000000002E-2</v>
      </c>
      <c r="AI6" s="32" t="s">
        <v>79</v>
      </c>
      <c r="AJ6" s="35">
        <v>0.2</v>
      </c>
      <c r="AK6" s="35">
        <v>-7.9100000000000004E-2</v>
      </c>
      <c r="AM6" s="32" t="s">
        <v>30</v>
      </c>
      <c r="AN6" s="35"/>
      <c r="AO6" s="68">
        <v>0.21800000000000003</v>
      </c>
      <c r="AP6" s="68"/>
      <c r="AQ6" s="68"/>
      <c r="AR6" s="68"/>
      <c r="AS6" s="68"/>
    </row>
    <row r="7" spans="1:48" x14ac:dyDescent="0.25">
      <c r="A7" s="32" t="s">
        <v>5</v>
      </c>
      <c r="B7" s="71" t="s">
        <v>30</v>
      </c>
      <c r="C7" s="32" t="s">
        <v>50</v>
      </c>
      <c r="D7" s="34">
        <v>0.7</v>
      </c>
      <c r="E7" s="34">
        <v>0</v>
      </c>
      <c r="F7" s="35">
        <v>0.18740000000000001</v>
      </c>
      <c r="G7" s="32"/>
      <c r="H7" s="35" t="b">
        <v>1</v>
      </c>
      <c r="I7" s="35"/>
      <c r="J7" s="34">
        <v>0.7</v>
      </c>
      <c r="K7" s="37">
        <v>50000000</v>
      </c>
      <c r="L7" s="37">
        <v>300000</v>
      </c>
      <c r="M7" s="37">
        <v>3</v>
      </c>
      <c r="N7" s="37"/>
      <c r="O7" s="37"/>
      <c r="P7" s="35"/>
      <c r="R7" s="32" t="s">
        <v>47</v>
      </c>
      <c r="S7" s="32" t="s">
        <v>14</v>
      </c>
      <c r="U7" s="32" t="s">
        <v>22</v>
      </c>
      <c r="V7" s="35"/>
      <c r="W7" s="35"/>
      <c r="X7" s="35"/>
      <c r="Y7" s="35"/>
      <c r="Z7" s="35"/>
      <c r="AA7" s="39"/>
      <c r="AB7" s="32" t="s">
        <v>5</v>
      </c>
      <c r="AC7" s="35"/>
      <c r="AD7" s="35"/>
    </row>
    <row r="8" spans="1:48" x14ac:dyDescent="0.25">
      <c r="A8" s="32" t="s">
        <v>6</v>
      </c>
      <c r="B8" s="32" t="s">
        <v>14</v>
      </c>
      <c r="C8" s="32" t="s">
        <v>18</v>
      </c>
      <c r="D8" s="34">
        <v>0.7</v>
      </c>
      <c r="E8" s="34">
        <v>0</v>
      </c>
      <c r="F8" s="35">
        <v>7.9899999999999999E-2</v>
      </c>
      <c r="G8" s="35"/>
      <c r="H8" s="35" t="b">
        <v>0</v>
      </c>
      <c r="I8" s="35"/>
      <c r="J8" s="34">
        <v>0.7</v>
      </c>
      <c r="K8" s="37">
        <v>6000000</v>
      </c>
      <c r="L8" s="37">
        <v>300000</v>
      </c>
      <c r="M8" s="37">
        <v>3</v>
      </c>
      <c r="N8" s="37"/>
      <c r="O8" s="37"/>
      <c r="P8" s="32"/>
      <c r="R8" s="32" t="s">
        <v>46</v>
      </c>
      <c r="S8" s="32" t="s">
        <v>14</v>
      </c>
      <c r="U8" s="32" t="s">
        <v>23</v>
      </c>
      <c r="V8" s="32"/>
      <c r="W8" s="32"/>
      <c r="X8" s="32"/>
      <c r="Y8" s="32"/>
      <c r="Z8" s="32"/>
      <c r="AB8" s="32" t="s">
        <v>10</v>
      </c>
      <c r="AC8" s="35">
        <v>0</v>
      </c>
      <c r="AD8" s="35">
        <v>0</v>
      </c>
    </row>
    <row r="9" spans="1:48" x14ac:dyDescent="0.25">
      <c r="A9" s="32" t="s">
        <v>6</v>
      </c>
      <c r="B9" s="32" t="s">
        <v>14</v>
      </c>
      <c r="C9" s="32" t="s">
        <v>18</v>
      </c>
      <c r="D9" s="34">
        <v>0.7</v>
      </c>
      <c r="E9" s="34">
        <v>0</v>
      </c>
      <c r="F9" s="35">
        <v>7.9899999999999999E-2</v>
      </c>
      <c r="G9" s="35"/>
      <c r="H9" s="35" t="b">
        <v>1</v>
      </c>
      <c r="I9" s="32"/>
      <c r="J9" s="34">
        <v>0.7</v>
      </c>
      <c r="K9" s="37">
        <v>6000000</v>
      </c>
      <c r="L9" s="37">
        <v>300000</v>
      </c>
      <c r="M9" s="37">
        <v>3</v>
      </c>
      <c r="N9" s="37"/>
      <c r="O9" s="37"/>
      <c r="P9" s="32"/>
      <c r="R9" s="32" t="s">
        <v>22</v>
      </c>
      <c r="S9" s="32" t="s">
        <v>14</v>
      </c>
      <c r="U9" s="32" t="s">
        <v>35</v>
      </c>
      <c r="V9" s="32"/>
      <c r="W9" s="32"/>
      <c r="X9" s="32"/>
      <c r="Y9" s="32"/>
      <c r="Z9" s="32"/>
      <c r="AB9" s="32" t="s">
        <v>10</v>
      </c>
      <c r="AC9" s="35"/>
      <c r="AD9" s="35"/>
    </row>
    <row r="10" spans="1:48" ht="15.75" thickBot="1" x14ac:dyDescent="0.3">
      <c r="A10" s="32" t="s">
        <v>10</v>
      </c>
      <c r="B10" s="32" t="s">
        <v>14</v>
      </c>
      <c r="C10" s="32" t="s">
        <v>19</v>
      </c>
      <c r="D10" s="34">
        <v>0.8</v>
      </c>
      <c r="E10" s="34">
        <v>0</v>
      </c>
      <c r="F10" s="35">
        <v>5.9900000000000002E-2</v>
      </c>
      <c r="G10" s="35"/>
      <c r="H10" s="35" t="b">
        <v>0</v>
      </c>
      <c r="I10" s="35"/>
      <c r="J10" s="34">
        <v>0.8</v>
      </c>
      <c r="K10" s="37">
        <v>50000000</v>
      </c>
      <c r="L10" s="37">
        <v>300000</v>
      </c>
      <c r="M10" s="37">
        <v>3</v>
      </c>
      <c r="N10" s="37"/>
      <c r="O10" s="37"/>
      <c r="P10" s="32"/>
      <c r="R10" s="32" t="s">
        <v>22</v>
      </c>
      <c r="S10" s="32" t="s">
        <v>24</v>
      </c>
      <c r="U10" s="74" t="s">
        <v>46</v>
      </c>
      <c r="V10" s="74"/>
      <c r="W10" s="74"/>
      <c r="X10" s="74"/>
      <c r="Y10" s="74"/>
      <c r="Z10" s="74"/>
      <c r="AB10" s="32" t="s">
        <v>10</v>
      </c>
      <c r="AC10" s="35"/>
      <c r="AD10" s="35"/>
    </row>
    <row r="11" spans="1:48" x14ac:dyDescent="0.25">
      <c r="A11" s="32" t="s">
        <v>10</v>
      </c>
      <c r="B11" s="32" t="s">
        <v>14</v>
      </c>
      <c r="C11" s="32" t="s">
        <v>19</v>
      </c>
      <c r="D11" s="34">
        <v>0.8</v>
      </c>
      <c r="E11" s="34">
        <v>0</v>
      </c>
      <c r="F11" s="35">
        <v>5.9900000000000002E-2</v>
      </c>
      <c r="G11" s="35"/>
      <c r="H11" s="35" t="b">
        <v>1</v>
      </c>
      <c r="I11" s="32"/>
      <c r="J11" s="34">
        <v>0.8</v>
      </c>
      <c r="K11" s="37">
        <v>30000000</v>
      </c>
      <c r="L11" s="37">
        <v>300000</v>
      </c>
      <c r="M11" s="37">
        <v>3</v>
      </c>
      <c r="N11" s="37"/>
      <c r="O11" s="37"/>
      <c r="P11" s="32"/>
      <c r="R11" s="32" t="s">
        <v>22</v>
      </c>
      <c r="S11" s="32" t="s">
        <v>30</v>
      </c>
      <c r="U11" s="92" t="s">
        <v>5</v>
      </c>
      <c r="V11" s="92"/>
      <c r="W11" s="92"/>
      <c r="X11" s="92"/>
      <c r="Y11" s="92"/>
      <c r="Z11" s="92"/>
      <c r="AB11" s="32" t="s">
        <v>10</v>
      </c>
      <c r="AC11" s="35"/>
      <c r="AD11" s="35"/>
    </row>
    <row r="12" spans="1:48" x14ac:dyDescent="0.25">
      <c r="A12" s="32" t="s">
        <v>47</v>
      </c>
      <c r="B12" s="32" t="s">
        <v>14</v>
      </c>
      <c r="C12" s="32" t="s">
        <v>47</v>
      </c>
      <c r="D12" s="34">
        <v>0.8</v>
      </c>
      <c r="E12" s="34">
        <v>0</v>
      </c>
      <c r="F12" s="35">
        <v>4.99E-2</v>
      </c>
      <c r="G12" s="35"/>
      <c r="H12" s="35" t="b">
        <v>0</v>
      </c>
      <c r="I12" s="35"/>
      <c r="J12" s="34">
        <v>0.8</v>
      </c>
      <c r="K12" s="37">
        <v>50000000</v>
      </c>
      <c r="L12" s="37">
        <v>300000</v>
      </c>
      <c r="M12" s="37">
        <v>3</v>
      </c>
      <c r="N12" s="37"/>
      <c r="O12" s="37"/>
      <c r="P12" s="32"/>
      <c r="R12" s="32" t="s">
        <v>22</v>
      </c>
      <c r="S12" s="32" t="s">
        <v>58</v>
      </c>
      <c r="U12" s="32" t="s">
        <v>6</v>
      </c>
      <c r="V12" s="69"/>
      <c r="W12" s="69"/>
      <c r="X12" s="69"/>
      <c r="Y12" s="69"/>
      <c r="Z12" s="69"/>
      <c r="AB12" s="32" t="s">
        <v>10</v>
      </c>
      <c r="AC12" s="35"/>
      <c r="AD12" s="35"/>
    </row>
    <row r="13" spans="1:48" x14ac:dyDescent="0.25">
      <c r="A13" s="32" t="s">
        <v>47</v>
      </c>
      <c r="B13" s="32" t="s">
        <v>14</v>
      </c>
      <c r="C13" s="32" t="s">
        <v>47</v>
      </c>
      <c r="D13" s="34">
        <v>0.8</v>
      </c>
      <c r="E13" s="34">
        <v>0</v>
      </c>
      <c r="F13" s="35">
        <v>4.99E-2</v>
      </c>
      <c r="G13" s="35"/>
      <c r="H13" s="35" t="b">
        <v>1</v>
      </c>
      <c r="I13" s="32"/>
      <c r="J13" s="34">
        <v>0.8</v>
      </c>
      <c r="K13" s="37">
        <v>30000000</v>
      </c>
      <c r="L13" s="37">
        <v>300000</v>
      </c>
      <c r="M13" s="37">
        <v>3</v>
      </c>
      <c r="N13" s="37"/>
      <c r="O13" s="37"/>
      <c r="P13" s="32"/>
      <c r="R13" s="32" t="s">
        <v>23</v>
      </c>
      <c r="S13" s="32" t="s">
        <v>14</v>
      </c>
      <c r="U13" s="32" t="s">
        <v>10</v>
      </c>
      <c r="V13" s="93">
        <v>0.5</v>
      </c>
      <c r="W13" s="91">
        <v>0.54500000000000004</v>
      </c>
      <c r="X13" s="91">
        <v>0.6</v>
      </c>
      <c r="Y13" s="91">
        <v>0.65500000000000003</v>
      </c>
      <c r="Z13" s="91">
        <v>0.71499999999999997</v>
      </c>
      <c r="AB13" s="32" t="s">
        <v>10</v>
      </c>
      <c r="AC13" s="35"/>
      <c r="AD13" s="35"/>
    </row>
    <row r="14" spans="1:48" x14ac:dyDescent="0.25">
      <c r="A14" s="32" t="s">
        <v>46</v>
      </c>
      <c r="B14" s="32" t="s">
        <v>14</v>
      </c>
      <c r="C14" s="32" t="s">
        <v>46</v>
      </c>
      <c r="D14" s="34">
        <v>0.8</v>
      </c>
      <c r="E14" s="34">
        <v>0</v>
      </c>
      <c r="F14" s="35">
        <v>1.9900000000000001E-2</v>
      </c>
      <c r="G14" s="35"/>
      <c r="H14" s="35" t="b">
        <v>0</v>
      </c>
      <c r="I14" s="35"/>
      <c r="J14" s="34">
        <v>0.8</v>
      </c>
      <c r="K14" s="37">
        <v>6000000</v>
      </c>
      <c r="L14" s="37">
        <v>300000</v>
      </c>
      <c r="M14" s="37">
        <v>3</v>
      </c>
      <c r="N14" s="37"/>
      <c r="O14" s="37"/>
      <c r="P14" s="32"/>
      <c r="R14" s="32" t="s">
        <v>23</v>
      </c>
      <c r="S14" s="32" t="s">
        <v>24</v>
      </c>
      <c r="U14" s="32" t="s">
        <v>47</v>
      </c>
      <c r="V14" s="93">
        <v>0.5</v>
      </c>
      <c r="W14" s="91">
        <v>0.54500000000000004</v>
      </c>
      <c r="X14" s="91">
        <v>0.6</v>
      </c>
      <c r="Y14" s="91">
        <v>0.65500000000000003</v>
      </c>
      <c r="Z14" s="91">
        <v>0.71499999999999997</v>
      </c>
      <c r="AB14" s="32" t="s">
        <v>47</v>
      </c>
      <c r="AC14" s="35">
        <v>0</v>
      </c>
      <c r="AD14" s="35">
        <v>0</v>
      </c>
    </row>
    <row r="15" spans="1:48" x14ac:dyDescent="0.25">
      <c r="A15" s="32" t="s">
        <v>46</v>
      </c>
      <c r="B15" s="32" t="s">
        <v>14</v>
      </c>
      <c r="C15" s="32" t="s">
        <v>46</v>
      </c>
      <c r="D15" s="34">
        <v>0.8</v>
      </c>
      <c r="E15" s="34">
        <v>0</v>
      </c>
      <c r="F15" s="35">
        <v>1.9900000000000001E-2</v>
      </c>
      <c r="G15" s="35"/>
      <c r="H15" s="35" t="b">
        <v>1</v>
      </c>
      <c r="I15" s="32"/>
      <c r="J15" s="34">
        <v>0.8</v>
      </c>
      <c r="K15" s="37">
        <v>6000000</v>
      </c>
      <c r="L15" s="37">
        <v>300000</v>
      </c>
      <c r="M15" s="37">
        <v>3</v>
      </c>
      <c r="N15" s="37"/>
      <c r="O15" s="37"/>
      <c r="P15" s="32"/>
      <c r="R15" s="32" t="s">
        <v>23</v>
      </c>
      <c r="S15" s="32" t="s">
        <v>30</v>
      </c>
      <c r="U15" s="32" t="s">
        <v>38</v>
      </c>
      <c r="V15" s="69"/>
      <c r="W15" s="69"/>
      <c r="X15" s="69"/>
      <c r="Y15" s="69"/>
      <c r="Z15" s="69"/>
      <c r="AB15" s="32" t="s">
        <v>47</v>
      </c>
      <c r="AC15" s="35"/>
      <c r="AD15" s="35"/>
    </row>
    <row r="16" spans="1:48" x14ac:dyDescent="0.25">
      <c r="A16" s="32" t="s">
        <v>22</v>
      </c>
      <c r="B16" s="32" t="s">
        <v>14</v>
      </c>
      <c r="C16" s="32" t="s">
        <v>16</v>
      </c>
      <c r="D16" s="34">
        <v>0.9</v>
      </c>
      <c r="E16" s="34">
        <v>0</v>
      </c>
      <c r="F16" s="35">
        <v>0.1799</v>
      </c>
      <c r="G16" s="35">
        <v>-5.0000000000000001E-3</v>
      </c>
      <c r="H16" s="35" t="b">
        <v>0</v>
      </c>
      <c r="I16" s="35"/>
      <c r="J16" s="36">
        <v>0.9</v>
      </c>
      <c r="K16" s="37">
        <v>50000000</v>
      </c>
      <c r="L16" s="37">
        <v>300000</v>
      </c>
      <c r="M16" s="37">
        <v>3</v>
      </c>
      <c r="N16" s="35"/>
      <c r="O16" s="35"/>
      <c r="P16" s="35"/>
      <c r="R16" s="32" t="s">
        <v>23</v>
      </c>
      <c r="S16" s="32" t="s">
        <v>58</v>
      </c>
      <c r="U16" s="32" t="s">
        <v>22</v>
      </c>
      <c r="V16" s="35"/>
      <c r="W16" s="35"/>
      <c r="X16" s="35"/>
      <c r="Y16" s="35"/>
      <c r="Z16" s="35"/>
      <c r="AB16" s="32" t="s">
        <v>47</v>
      </c>
      <c r="AC16" s="35"/>
      <c r="AD16" s="35"/>
    </row>
    <row r="17" spans="1:30" x14ac:dyDescent="0.25">
      <c r="A17" s="32" t="s">
        <v>22</v>
      </c>
      <c r="B17" s="32" t="s">
        <v>14</v>
      </c>
      <c r="C17" s="32" t="s">
        <v>16</v>
      </c>
      <c r="D17" s="34">
        <v>0.9</v>
      </c>
      <c r="E17" s="34">
        <v>0</v>
      </c>
      <c r="F17" s="35">
        <v>0.1799</v>
      </c>
      <c r="G17" s="35">
        <v>-5.0000000000000001E-3</v>
      </c>
      <c r="H17" s="35" t="b">
        <v>1</v>
      </c>
      <c r="I17" s="35"/>
      <c r="J17" s="36">
        <v>0.9</v>
      </c>
      <c r="K17" s="37">
        <v>50000000</v>
      </c>
      <c r="L17" s="37">
        <v>300000</v>
      </c>
      <c r="M17" s="37">
        <v>3</v>
      </c>
      <c r="N17" s="35"/>
      <c r="O17" s="35"/>
      <c r="P17" s="35"/>
      <c r="R17" s="32" t="s">
        <v>35</v>
      </c>
      <c r="S17" s="32" t="s">
        <v>14</v>
      </c>
      <c r="U17" s="32" t="s">
        <v>23</v>
      </c>
      <c r="V17" s="32"/>
      <c r="W17" s="32"/>
      <c r="X17" s="32"/>
      <c r="Y17" s="32"/>
      <c r="Z17" s="32"/>
      <c r="AB17" s="32" t="s">
        <v>47</v>
      </c>
      <c r="AC17" s="35"/>
      <c r="AD17" s="35"/>
    </row>
    <row r="18" spans="1:30" x14ac:dyDescent="0.25">
      <c r="A18" s="32" t="s">
        <v>22</v>
      </c>
      <c r="B18" s="32" t="s">
        <v>24</v>
      </c>
      <c r="C18" s="32" t="s">
        <v>17</v>
      </c>
      <c r="D18" s="34">
        <v>0.9</v>
      </c>
      <c r="E18" s="34">
        <v>0</v>
      </c>
      <c r="F18" s="35">
        <v>0.1799</v>
      </c>
      <c r="G18" s="35">
        <v>-5.0000000000000001E-3</v>
      </c>
      <c r="H18" s="35" t="b">
        <v>0</v>
      </c>
      <c r="I18" s="35"/>
      <c r="J18" s="36">
        <v>0.9</v>
      </c>
      <c r="K18" s="37">
        <v>50000000</v>
      </c>
      <c r="L18" s="37">
        <v>300000</v>
      </c>
      <c r="M18" s="37">
        <v>3</v>
      </c>
      <c r="N18" s="35"/>
      <c r="O18" s="35"/>
      <c r="P18" s="35"/>
      <c r="R18" s="32" t="s">
        <v>38</v>
      </c>
      <c r="S18" s="32" t="s">
        <v>14</v>
      </c>
      <c r="U18" s="32" t="s">
        <v>35</v>
      </c>
      <c r="V18" s="32"/>
      <c r="W18" s="32"/>
      <c r="X18" s="32"/>
      <c r="Y18" s="32"/>
      <c r="Z18" s="32"/>
      <c r="AB18" s="32" t="s">
        <v>47</v>
      </c>
      <c r="AC18" s="35"/>
      <c r="AD18" s="35"/>
    </row>
    <row r="19" spans="1:30" x14ac:dyDescent="0.25">
      <c r="A19" s="32" t="s">
        <v>22</v>
      </c>
      <c r="B19" s="32" t="s">
        <v>24</v>
      </c>
      <c r="C19" s="32" t="s">
        <v>17</v>
      </c>
      <c r="D19" s="34">
        <v>0.9</v>
      </c>
      <c r="E19" s="34">
        <v>0</v>
      </c>
      <c r="F19" s="35">
        <v>0.1799</v>
      </c>
      <c r="G19" s="35">
        <v>-5.0000000000000001E-3</v>
      </c>
      <c r="H19" s="35" t="b">
        <v>1</v>
      </c>
      <c r="I19" s="35"/>
      <c r="J19" s="36">
        <v>0.9</v>
      </c>
      <c r="K19" s="37">
        <v>50000000</v>
      </c>
      <c r="L19" s="37">
        <v>300000</v>
      </c>
      <c r="M19" s="37">
        <v>3</v>
      </c>
      <c r="N19" s="35"/>
      <c r="O19" s="35"/>
      <c r="P19" s="35"/>
      <c r="U19" s="32" t="s">
        <v>46</v>
      </c>
      <c r="V19" s="32"/>
      <c r="W19" s="32"/>
      <c r="X19" s="32"/>
      <c r="Y19" s="32"/>
      <c r="Z19" s="32"/>
      <c r="AB19" s="32" t="s">
        <v>47</v>
      </c>
      <c r="AC19" s="35"/>
      <c r="AD19" s="35"/>
    </row>
    <row r="20" spans="1:30" x14ac:dyDescent="0.25">
      <c r="A20" s="32" t="s">
        <v>22</v>
      </c>
      <c r="B20" s="71" t="s">
        <v>30</v>
      </c>
      <c r="C20" s="32" t="s">
        <v>60</v>
      </c>
      <c r="D20" s="34">
        <v>0.7</v>
      </c>
      <c r="E20" s="34">
        <v>0</v>
      </c>
      <c r="F20" s="35">
        <v>0.18740000000000001</v>
      </c>
      <c r="G20" s="35"/>
      <c r="H20" s="35" t="b">
        <v>0</v>
      </c>
      <c r="I20" s="35"/>
      <c r="J20" s="34">
        <v>0.7</v>
      </c>
      <c r="K20" s="37">
        <v>50000000</v>
      </c>
      <c r="L20" s="37">
        <v>300000</v>
      </c>
      <c r="M20" s="37">
        <v>3</v>
      </c>
      <c r="N20" s="37"/>
      <c r="O20" s="37"/>
      <c r="P20" s="35"/>
      <c r="AB20" s="32" t="s">
        <v>46</v>
      </c>
      <c r="AC20" s="35">
        <v>0</v>
      </c>
      <c r="AD20" s="35">
        <v>0</v>
      </c>
    </row>
    <row r="21" spans="1:30" x14ac:dyDescent="0.25">
      <c r="A21" s="32" t="s">
        <v>22</v>
      </c>
      <c r="B21" s="71" t="s">
        <v>30</v>
      </c>
      <c r="C21" s="32" t="s">
        <v>60</v>
      </c>
      <c r="D21" s="34">
        <v>0.7</v>
      </c>
      <c r="E21" s="34">
        <v>0</v>
      </c>
      <c r="F21" s="35">
        <v>0.18740000000000001</v>
      </c>
      <c r="G21" s="32"/>
      <c r="H21" s="35" t="b">
        <v>1</v>
      </c>
      <c r="I21" s="35"/>
      <c r="J21" s="34">
        <v>0.7</v>
      </c>
      <c r="K21" s="37">
        <v>50000000</v>
      </c>
      <c r="L21" s="37">
        <v>300000</v>
      </c>
      <c r="M21" s="37">
        <v>3</v>
      </c>
      <c r="N21" s="37"/>
      <c r="O21" s="37"/>
      <c r="P21" s="35"/>
      <c r="AB21" s="32" t="s">
        <v>46</v>
      </c>
      <c r="AC21" s="35"/>
      <c r="AD21" s="35"/>
    </row>
    <row r="22" spans="1:30" x14ac:dyDescent="0.25">
      <c r="A22" s="32" t="s">
        <v>22</v>
      </c>
      <c r="B22" s="32" t="s">
        <v>58</v>
      </c>
      <c r="C22" s="32" t="s">
        <v>59</v>
      </c>
      <c r="D22" s="34">
        <v>0.6</v>
      </c>
      <c r="E22" s="34">
        <v>0</v>
      </c>
      <c r="F22" s="35">
        <v>0.1799</v>
      </c>
      <c r="G22" s="35">
        <v>-5.0000000000000001E-3</v>
      </c>
      <c r="H22" s="35" t="b">
        <v>0</v>
      </c>
      <c r="I22" s="35"/>
      <c r="J22" s="34">
        <v>0.6</v>
      </c>
      <c r="K22" s="37">
        <v>50000000</v>
      </c>
      <c r="L22" s="37">
        <v>300000</v>
      </c>
      <c r="M22" s="37">
        <v>3</v>
      </c>
      <c r="N22" s="37"/>
      <c r="O22" s="37"/>
      <c r="P22" s="35"/>
      <c r="AB22" s="32" t="s">
        <v>46</v>
      </c>
      <c r="AC22" s="35"/>
      <c r="AD22" s="35"/>
    </row>
    <row r="23" spans="1:30" x14ac:dyDescent="0.25">
      <c r="A23" s="32" t="s">
        <v>22</v>
      </c>
      <c r="B23" s="32" t="s">
        <v>58</v>
      </c>
      <c r="C23" s="32" t="s">
        <v>59</v>
      </c>
      <c r="D23" s="34">
        <v>0.6</v>
      </c>
      <c r="E23" s="34">
        <v>0</v>
      </c>
      <c r="F23" s="35">
        <v>0.1799</v>
      </c>
      <c r="G23" s="35">
        <v>-5.0000000000000001E-3</v>
      </c>
      <c r="H23" s="35" t="b">
        <v>1</v>
      </c>
      <c r="I23" s="35"/>
      <c r="J23" s="34">
        <v>0.6</v>
      </c>
      <c r="K23" s="37">
        <v>50000000</v>
      </c>
      <c r="L23" s="37">
        <v>300000</v>
      </c>
      <c r="M23" s="37">
        <v>3</v>
      </c>
      <c r="N23" s="37"/>
      <c r="O23" s="37"/>
      <c r="P23" s="35"/>
      <c r="AB23" s="32" t="s">
        <v>46</v>
      </c>
      <c r="AC23" s="35"/>
      <c r="AD23" s="35"/>
    </row>
    <row r="24" spans="1:30" x14ac:dyDescent="0.25">
      <c r="A24" s="32" t="s">
        <v>23</v>
      </c>
      <c r="B24" s="32" t="s">
        <v>14</v>
      </c>
      <c r="C24" s="32" t="s">
        <v>17</v>
      </c>
      <c r="D24" s="34">
        <v>0.8</v>
      </c>
      <c r="E24" s="34">
        <v>0.5</v>
      </c>
      <c r="F24" s="35">
        <v>0.1799</v>
      </c>
      <c r="G24" s="35">
        <v>-5.0000000000000001E-3</v>
      </c>
      <c r="H24" s="35" t="b">
        <v>0</v>
      </c>
      <c r="I24" s="35"/>
      <c r="J24" s="36">
        <v>0.8</v>
      </c>
      <c r="K24" s="37">
        <v>50000000</v>
      </c>
      <c r="L24" s="37">
        <v>300000</v>
      </c>
      <c r="M24" s="37">
        <v>3</v>
      </c>
      <c r="N24" s="35"/>
      <c r="O24" s="35"/>
      <c r="P24" s="35"/>
      <c r="AB24" s="32" t="s">
        <v>46</v>
      </c>
      <c r="AC24" s="35"/>
      <c r="AD24" s="35"/>
    </row>
    <row r="25" spans="1:30" x14ac:dyDescent="0.25">
      <c r="A25" s="32" t="s">
        <v>23</v>
      </c>
      <c r="B25" s="32" t="s">
        <v>14</v>
      </c>
      <c r="C25" s="32" t="s">
        <v>17</v>
      </c>
      <c r="D25" s="34">
        <v>0.8</v>
      </c>
      <c r="E25" s="34">
        <v>0.5</v>
      </c>
      <c r="F25" s="35">
        <v>0.1799</v>
      </c>
      <c r="G25" s="35">
        <v>-5.0000000000000001E-3</v>
      </c>
      <c r="H25" s="35" t="b">
        <v>1</v>
      </c>
      <c r="I25" s="35"/>
      <c r="J25" s="36">
        <v>0.8</v>
      </c>
      <c r="K25" s="37">
        <v>50000000</v>
      </c>
      <c r="L25" s="37">
        <v>300000</v>
      </c>
      <c r="M25" s="37">
        <v>3</v>
      </c>
      <c r="N25" s="35"/>
      <c r="O25" s="35"/>
      <c r="P25" s="35"/>
      <c r="AB25" s="32" t="s">
        <v>46</v>
      </c>
      <c r="AC25" s="35"/>
      <c r="AD25" s="35"/>
    </row>
    <row r="26" spans="1:30" x14ac:dyDescent="0.25">
      <c r="A26" s="32" t="s">
        <v>23</v>
      </c>
      <c r="B26" s="32" t="s">
        <v>24</v>
      </c>
      <c r="C26" s="32" t="s">
        <v>17</v>
      </c>
      <c r="D26" s="34">
        <v>0.8</v>
      </c>
      <c r="E26" s="34">
        <v>0.5</v>
      </c>
      <c r="F26" s="35">
        <v>0.1799</v>
      </c>
      <c r="G26" s="35">
        <v>-5.0000000000000001E-3</v>
      </c>
      <c r="H26" s="35" t="b">
        <v>0</v>
      </c>
      <c r="I26" s="35"/>
      <c r="J26" s="36">
        <v>0.8</v>
      </c>
      <c r="K26" s="37">
        <v>50000000</v>
      </c>
      <c r="L26" s="37">
        <v>300000</v>
      </c>
      <c r="M26" s="37">
        <v>3</v>
      </c>
      <c r="N26" s="35"/>
      <c r="O26" s="35"/>
      <c r="P26" s="35"/>
      <c r="AB26" s="32" t="s">
        <v>6</v>
      </c>
      <c r="AC26" s="35">
        <v>0</v>
      </c>
      <c r="AD26" s="35">
        <v>0</v>
      </c>
    </row>
    <row r="27" spans="1:30" x14ac:dyDescent="0.25">
      <c r="A27" s="32" t="s">
        <v>23</v>
      </c>
      <c r="B27" s="32" t="s">
        <v>24</v>
      </c>
      <c r="C27" s="32" t="s">
        <v>17</v>
      </c>
      <c r="D27" s="34">
        <v>0.8</v>
      </c>
      <c r="E27" s="34">
        <v>0.5</v>
      </c>
      <c r="F27" s="35">
        <v>0.1799</v>
      </c>
      <c r="G27" s="35">
        <v>-5.0000000000000001E-3</v>
      </c>
      <c r="H27" s="35" t="b">
        <v>1</v>
      </c>
      <c r="I27" s="35"/>
      <c r="J27" s="36">
        <v>0.8</v>
      </c>
      <c r="K27" s="37">
        <v>50000000</v>
      </c>
      <c r="L27" s="37">
        <v>300000</v>
      </c>
      <c r="M27" s="37">
        <v>3</v>
      </c>
      <c r="N27" s="35"/>
      <c r="O27" s="35"/>
      <c r="P27" s="35"/>
      <c r="AB27" s="32" t="s">
        <v>6</v>
      </c>
      <c r="AC27" s="35"/>
      <c r="AD27" s="35"/>
    </row>
    <row r="28" spans="1:30" x14ac:dyDescent="0.25">
      <c r="A28" s="32" t="s">
        <v>23</v>
      </c>
      <c r="B28" s="71" t="s">
        <v>30</v>
      </c>
      <c r="C28" s="32" t="s">
        <v>50</v>
      </c>
      <c r="D28" s="34">
        <v>0.7</v>
      </c>
      <c r="E28" s="34">
        <v>0</v>
      </c>
      <c r="F28" s="35">
        <v>0.18740000000000001</v>
      </c>
      <c r="G28" s="32"/>
      <c r="H28" s="35" t="b">
        <v>0</v>
      </c>
      <c r="I28" s="35"/>
      <c r="J28" s="34">
        <v>0.7</v>
      </c>
      <c r="K28" s="37">
        <v>50000000</v>
      </c>
      <c r="L28" s="37">
        <v>300000</v>
      </c>
      <c r="M28" s="37">
        <v>3</v>
      </c>
      <c r="N28" s="37"/>
      <c r="O28" s="37"/>
      <c r="P28" s="35"/>
      <c r="AB28" s="32" t="s">
        <v>6</v>
      </c>
      <c r="AC28" s="35"/>
      <c r="AD28" s="35"/>
    </row>
    <row r="29" spans="1:30" x14ac:dyDescent="0.25">
      <c r="A29" s="32" t="s">
        <v>23</v>
      </c>
      <c r="B29" s="71" t="s">
        <v>30</v>
      </c>
      <c r="C29" s="32" t="s">
        <v>50</v>
      </c>
      <c r="D29" s="34">
        <v>0.7</v>
      </c>
      <c r="E29" s="34">
        <v>0</v>
      </c>
      <c r="F29" s="35">
        <v>0.18740000000000001</v>
      </c>
      <c r="G29" s="32"/>
      <c r="H29" s="35" t="b">
        <v>1</v>
      </c>
      <c r="I29" s="35"/>
      <c r="J29" s="34">
        <v>0.7</v>
      </c>
      <c r="K29" s="37">
        <v>50000000</v>
      </c>
      <c r="L29" s="37">
        <v>300000</v>
      </c>
      <c r="M29" s="37">
        <v>3</v>
      </c>
      <c r="N29" s="37"/>
      <c r="O29" s="37"/>
      <c r="P29" s="35"/>
      <c r="AB29" s="32" t="s">
        <v>6</v>
      </c>
      <c r="AC29" s="35"/>
      <c r="AD29" s="35"/>
    </row>
    <row r="30" spans="1:30" x14ac:dyDescent="0.25">
      <c r="A30" s="32" t="s">
        <v>23</v>
      </c>
      <c r="B30" s="32" t="s">
        <v>58</v>
      </c>
      <c r="C30" s="32" t="s">
        <v>59</v>
      </c>
      <c r="D30" s="34">
        <v>0.6</v>
      </c>
      <c r="E30" s="34">
        <v>0</v>
      </c>
      <c r="F30" s="35">
        <v>0.1799</v>
      </c>
      <c r="G30" s="35">
        <v>-5.0000000000000001E-3</v>
      </c>
      <c r="H30" s="35" t="b">
        <v>0</v>
      </c>
      <c r="I30" s="35"/>
      <c r="J30" s="34">
        <v>0.6</v>
      </c>
      <c r="K30" s="37">
        <v>50000000</v>
      </c>
      <c r="L30" s="37">
        <v>300000</v>
      </c>
      <c r="M30" s="37">
        <v>3</v>
      </c>
      <c r="N30" s="37"/>
      <c r="O30" s="37"/>
      <c r="P30" s="35"/>
      <c r="AB30" s="32" t="s">
        <v>6</v>
      </c>
      <c r="AC30" s="35"/>
      <c r="AD30" s="35"/>
    </row>
    <row r="31" spans="1:30" x14ac:dyDescent="0.25">
      <c r="A31" s="32" t="s">
        <v>23</v>
      </c>
      <c r="B31" s="32" t="s">
        <v>58</v>
      </c>
      <c r="C31" s="32" t="s">
        <v>59</v>
      </c>
      <c r="D31" s="34">
        <v>0.6</v>
      </c>
      <c r="E31" s="34">
        <v>0</v>
      </c>
      <c r="F31" s="35">
        <v>0.1799</v>
      </c>
      <c r="G31" s="35">
        <v>-5.0000000000000001E-3</v>
      </c>
      <c r="H31" s="35" t="b">
        <v>1</v>
      </c>
      <c r="I31" s="35"/>
      <c r="J31" s="34">
        <v>0.6</v>
      </c>
      <c r="K31" s="37">
        <v>50000000</v>
      </c>
      <c r="L31" s="37">
        <v>300000</v>
      </c>
      <c r="M31" s="37">
        <v>3</v>
      </c>
      <c r="N31" s="37"/>
      <c r="O31" s="37"/>
      <c r="P31" s="35"/>
      <c r="AB31" s="32" t="s">
        <v>6</v>
      </c>
      <c r="AC31" s="35"/>
      <c r="AD31" s="35"/>
    </row>
    <row r="32" spans="1:30" x14ac:dyDescent="0.25">
      <c r="A32" s="32" t="s">
        <v>35</v>
      </c>
      <c r="B32" s="32" t="s">
        <v>14</v>
      </c>
      <c r="C32" s="32" t="s">
        <v>36</v>
      </c>
      <c r="D32" s="34">
        <v>0.8</v>
      </c>
      <c r="E32" s="34">
        <v>0</v>
      </c>
      <c r="F32" s="35">
        <v>5.9900000000000002E-2</v>
      </c>
      <c r="G32" s="32"/>
      <c r="H32" s="35" t="b">
        <v>0</v>
      </c>
      <c r="I32" s="35"/>
      <c r="J32" s="34">
        <v>0.8</v>
      </c>
      <c r="K32" s="37">
        <v>12000000</v>
      </c>
      <c r="L32" s="37">
        <v>300000</v>
      </c>
      <c r="M32" s="37">
        <v>3</v>
      </c>
      <c r="N32" s="37"/>
      <c r="O32" s="37"/>
      <c r="P32" s="32"/>
      <c r="AB32" s="32" t="s">
        <v>38</v>
      </c>
      <c r="AC32" s="35">
        <v>0</v>
      </c>
      <c r="AD32" s="35">
        <v>0</v>
      </c>
    </row>
    <row r="33" spans="1:30" x14ac:dyDescent="0.25">
      <c r="A33" s="32" t="s">
        <v>35</v>
      </c>
      <c r="B33" s="32" t="s">
        <v>14</v>
      </c>
      <c r="C33" s="32" t="s">
        <v>36</v>
      </c>
      <c r="D33" s="34">
        <v>0.8</v>
      </c>
      <c r="E33" s="34">
        <v>0</v>
      </c>
      <c r="F33" s="35">
        <v>5.9900000000000002E-2</v>
      </c>
      <c r="G33" s="32"/>
      <c r="H33" s="35" t="b">
        <v>1</v>
      </c>
      <c r="I33" s="32"/>
      <c r="J33" s="34">
        <v>0.8</v>
      </c>
      <c r="K33" s="37">
        <v>12000000</v>
      </c>
      <c r="L33" s="37">
        <v>300000</v>
      </c>
      <c r="M33" s="37">
        <v>3</v>
      </c>
      <c r="N33" s="37"/>
      <c r="O33" s="37"/>
      <c r="P33" s="32"/>
      <c r="AB33" s="32" t="s">
        <v>38</v>
      </c>
      <c r="AC33" s="35"/>
      <c r="AD33" s="35"/>
    </row>
    <row r="34" spans="1:30" x14ac:dyDescent="0.25">
      <c r="A34" s="32" t="s">
        <v>38</v>
      </c>
      <c r="B34" s="32" t="s">
        <v>14</v>
      </c>
      <c r="C34" s="32" t="s">
        <v>39</v>
      </c>
      <c r="D34" s="34">
        <v>0.8</v>
      </c>
      <c r="E34" s="34">
        <v>0</v>
      </c>
      <c r="F34" s="35">
        <v>0.05</v>
      </c>
      <c r="G34" s="35"/>
      <c r="H34" s="35" t="b">
        <v>0</v>
      </c>
      <c r="I34" s="32"/>
      <c r="J34" s="34">
        <v>0.8</v>
      </c>
      <c r="K34" s="37">
        <v>30000000</v>
      </c>
      <c r="L34" s="37">
        <v>300000</v>
      </c>
      <c r="M34" s="37">
        <v>3</v>
      </c>
      <c r="N34" s="37"/>
      <c r="O34" s="37"/>
      <c r="P34" s="32"/>
      <c r="AB34" s="32" t="s">
        <v>38</v>
      </c>
      <c r="AC34" s="35"/>
      <c r="AD34" s="35"/>
    </row>
    <row r="35" spans="1:30" x14ac:dyDescent="0.25">
      <c r="A35" s="32" t="s">
        <v>38</v>
      </c>
      <c r="B35" s="32" t="s">
        <v>14</v>
      </c>
      <c r="C35" s="32" t="s">
        <v>39</v>
      </c>
      <c r="D35" s="34">
        <v>0.8</v>
      </c>
      <c r="E35" s="34">
        <v>0</v>
      </c>
      <c r="F35" s="35">
        <v>0.05</v>
      </c>
      <c r="G35" s="35"/>
      <c r="H35" s="35" t="b">
        <v>1</v>
      </c>
      <c r="I35" s="32"/>
      <c r="J35" s="34">
        <v>0.8</v>
      </c>
      <c r="K35" s="37">
        <v>30000000</v>
      </c>
      <c r="L35" s="37">
        <v>300000</v>
      </c>
      <c r="M35" s="37">
        <v>3</v>
      </c>
      <c r="N35" s="37"/>
      <c r="O35" s="37"/>
      <c r="P35" s="32"/>
      <c r="AB35" s="32" t="s">
        <v>38</v>
      </c>
      <c r="AC35" s="35"/>
      <c r="AD35" s="35"/>
    </row>
    <row r="36" spans="1:30" x14ac:dyDescent="0.25">
      <c r="D36" s="40"/>
      <c r="E36" s="40"/>
      <c r="F36" s="39"/>
      <c r="H36" s="39"/>
      <c r="J36" s="41"/>
      <c r="K36" s="42"/>
      <c r="L36" s="42"/>
      <c r="M36" s="42"/>
      <c r="N36" s="42"/>
      <c r="O36" s="42"/>
      <c r="AB36" s="32" t="s">
        <v>38</v>
      </c>
      <c r="AC36" s="35"/>
      <c r="AD36" s="35"/>
    </row>
    <row r="37" spans="1:30" x14ac:dyDescent="0.25">
      <c r="AB37" s="32" t="s">
        <v>38</v>
      </c>
      <c r="AC37" s="35"/>
      <c r="AD37" s="35"/>
    </row>
    <row r="38" spans="1:30" x14ac:dyDescent="0.25">
      <c r="AB38" s="32" t="s">
        <v>22</v>
      </c>
      <c r="AC38" s="35">
        <v>0</v>
      </c>
      <c r="AD38" s="35">
        <v>0</v>
      </c>
    </row>
    <row r="39" spans="1:30" x14ac:dyDescent="0.25">
      <c r="AB39" s="32" t="s">
        <v>22</v>
      </c>
      <c r="AC39" s="35">
        <v>0.05</v>
      </c>
      <c r="AD39" s="35">
        <v>-0.02</v>
      </c>
    </row>
    <row r="40" spans="1:30" x14ac:dyDescent="0.25">
      <c r="AB40" s="32" t="s">
        <v>22</v>
      </c>
      <c r="AC40" s="35">
        <v>7.0000000000000007E-2</v>
      </c>
      <c r="AD40" s="35">
        <v>-2.7400000000000001E-2</v>
      </c>
    </row>
    <row r="41" spans="1:30" x14ac:dyDescent="0.25">
      <c r="AB41" s="32" t="s">
        <v>22</v>
      </c>
      <c r="AC41" s="35">
        <v>0.11</v>
      </c>
      <c r="AD41" s="35">
        <v>-4.4999999999999998E-2</v>
      </c>
    </row>
    <row r="42" spans="1:30" x14ac:dyDescent="0.25">
      <c r="AB42" s="32" t="s">
        <v>22</v>
      </c>
      <c r="AC42" s="35">
        <v>0.17</v>
      </c>
      <c r="AD42" s="35">
        <v>-6.5000000000000002E-2</v>
      </c>
    </row>
    <row r="43" spans="1:30" x14ac:dyDescent="0.25">
      <c r="AB43" s="32" t="s">
        <v>22</v>
      </c>
      <c r="AC43" s="35"/>
      <c r="AD43" s="35"/>
    </row>
    <row r="44" spans="1:30" x14ac:dyDescent="0.25">
      <c r="AB44" s="32" t="s">
        <v>23</v>
      </c>
      <c r="AC44" s="35">
        <v>0</v>
      </c>
      <c r="AD44" s="35">
        <v>0</v>
      </c>
    </row>
    <row r="45" spans="1:30" x14ac:dyDescent="0.25">
      <c r="AB45" s="32" t="s">
        <v>23</v>
      </c>
      <c r="AC45" s="35">
        <v>0.05</v>
      </c>
      <c r="AD45" s="35">
        <v>-0.02</v>
      </c>
    </row>
    <row r="46" spans="1:30" x14ac:dyDescent="0.25">
      <c r="AB46" s="32" t="s">
        <v>23</v>
      </c>
      <c r="AC46" s="35">
        <v>7.0000000000000007E-2</v>
      </c>
      <c r="AD46" s="35">
        <v>-2.7400000000000001E-2</v>
      </c>
    </row>
    <row r="47" spans="1:30" x14ac:dyDescent="0.25">
      <c r="AB47" s="32" t="s">
        <v>23</v>
      </c>
      <c r="AC47" s="35">
        <v>0.11</v>
      </c>
      <c r="AD47" s="35">
        <v>-4.4999999999999998E-2</v>
      </c>
    </row>
    <row r="48" spans="1:30" x14ac:dyDescent="0.25">
      <c r="AB48" s="32" t="s">
        <v>23</v>
      </c>
      <c r="AC48" s="35">
        <v>0.17</v>
      </c>
      <c r="AD48" s="35">
        <v>-6.5000000000000002E-2</v>
      </c>
    </row>
    <row r="49" spans="28:30" x14ac:dyDescent="0.25">
      <c r="AB49" s="32" t="s">
        <v>23</v>
      </c>
      <c r="AC49" s="35"/>
      <c r="AD49" s="35"/>
    </row>
    <row r="50" spans="28:30" x14ac:dyDescent="0.25">
      <c r="AB50" s="32" t="s">
        <v>35</v>
      </c>
      <c r="AC50" s="35">
        <v>0</v>
      </c>
      <c r="AD50" s="35">
        <v>0</v>
      </c>
    </row>
    <row r="51" spans="28:30" x14ac:dyDescent="0.25">
      <c r="AB51" s="32" t="s">
        <v>35</v>
      </c>
      <c r="AC51" s="35"/>
      <c r="AD51" s="35"/>
    </row>
    <row r="52" spans="28:30" x14ac:dyDescent="0.25">
      <c r="AB52" s="32" t="s">
        <v>35</v>
      </c>
      <c r="AC52" s="35"/>
      <c r="AD52" s="35"/>
    </row>
    <row r="53" spans="28:30" x14ac:dyDescent="0.25">
      <c r="AB53" s="32" t="s">
        <v>35</v>
      </c>
      <c r="AC53" s="35"/>
      <c r="AD53" s="35"/>
    </row>
    <row r="54" spans="28:30" x14ac:dyDescent="0.25">
      <c r="AB54" s="32" t="s">
        <v>35</v>
      </c>
      <c r="AC54" s="35"/>
      <c r="AD54" s="35"/>
    </row>
    <row r="55" spans="28:30" x14ac:dyDescent="0.25">
      <c r="AB55" s="32" t="s">
        <v>35</v>
      </c>
      <c r="AC55" s="35"/>
      <c r="AD55" s="35"/>
    </row>
  </sheetData>
  <sheetProtection algorithmName="SHA-512" hashValue="QrgvoGGrD2EZEejTWSVI567fVbRizrlWMuc7EoQRdsyn5GKq2Mm0+zhQZwcLPYrBKIl9pAi9AAeYU7q2FhFbcQ==" saltValue="ZOTIypfW/Dkbzhft79Lh6A==" spinCount="100000" sheet="1" objects="1" scenarios="1"/>
  <protectedRanges>
    <protectedRange sqref="R5 AM2 U12 U3" name="Диапазон1_1"/>
  </protectedRanges>
  <autoFilter ref="A1:AS35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DC323C"/>
  </sheetPr>
  <dimension ref="A1:BC234"/>
  <sheetViews>
    <sheetView topLeftCell="O1" zoomScale="70" zoomScaleNormal="70" workbookViewId="0">
      <selection activeCell="AB35" sqref="AB35"/>
    </sheetView>
  </sheetViews>
  <sheetFormatPr defaultRowHeight="15" x14ac:dyDescent="0.25"/>
  <cols>
    <col min="1" max="1" width="14.5703125" bestFit="1" customWidth="1"/>
    <col min="2" max="2" width="34.5703125" bestFit="1" customWidth="1"/>
    <col min="3" max="3" width="62.28515625" bestFit="1" customWidth="1"/>
    <col min="4" max="4" width="20.85546875" customWidth="1"/>
    <col min="5" max="5" width="9.140625" bestFit="1" customWidth="1"/>
    <col min="6" max="6" width="8.85546875" bestFit="1" customWidth="1"/>
    <col min="7" max="9" width="8.42578125" bestFit="1" customWidth="1"/>
    <col min="10" max="10" width="7.7109375" bestFit="1" customWidth="1"/>
    <col min="11" max="11" width="7.85546875" bestFit="1" customWidth="1"/>
    <col min="12" max="12" width="8.5703125" customWidth="1"/>
    <col min="13" max="13" width="9.42578125" customWidth="1"/>
    <col min="14" max="19" width="8" bestFit="1" customWidth="1"/>
    <col min="20" max="23" width="9.28515625" bestFit="1" customWidth="1"/>
    <col min="25" max="54" width="9.28515625" bestFit="1" customWidth="1"/>
  </cols>
  <sheetData>
    <row r="1" spans="1:54" s="43" customFormat="1" ht="15.75" x14ac:dyDescent="0.25">
      <c r="A1" s="65"/>
      <c r="B1" s="66"/>
      <c r="C1" s="66"/>
      <c r="D1" s="66"/>
      <c r="E1" s="85" t="s">
        <v>75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</row>
    <row r="2" spans="1:54" ht="18" customHeight="1" x14ac:dyDescent="0.25">
      <c r="A2" s="76" t="s">
        <v>5</v>
      </c>
      <c r="B2" s="20" t="s">
        <v>5</v>
      </c>
      <c r="C2" s="20" t="str">
        <f t="shared" ref="C2:C6" si="0">CONCATENATE(B2,D2)</f>
        <v>Новостройкаполный срок</v>
      </c>
      <c r="D2" s="29" t="s">
        <v>4</v>
      </c>
      <c r="E2" s="33">
        <v>0</v>
      </c>
      <c r="F2" s="31">
        <v>0.35</v>
      </c>
      <c r="G2" s="31">
        <v>0.54999999999999993</v>
      </c>
      <c r="H2" s="31">
        <v>0.75</v>
      </c>
      <c r="I2" s="30">
        <v>1</v>
      </c>
      <c r="J2" s="30">
        <v>1.1499999999999999</v>
      </c>
      <c r="K2" s="30">
        <v>1.4000000000000001</v>
      </c>
      <c r="L2" s="30">
        <v>1.6</v>
      </c>
      <c r="M2" s="30">
        <v>1.7999999999999998</v>
      </c>
      <c r="N2" s="30">
        <v>2</v>
      </c>
      <c r="O2" s="30">
        <v>2.25</v>
      </c>
      <c r="P2" s="30">
        <v>2.4500000000000002</v>
      </c>
      <c r="Q2" s="30">
        <v>2.65</v>
      </c>
      <c r="R2" s="30">
        <v>2.74</v>
      </c>
      <c r="S2" s="30">
        <v>3.05</v>
      </c>
      <c r="T2" s="30">
        <v>3.25</v>
      </c>
      <c r="U2" s="30">
        <v>3.45</v>
      </c>
      <c r="V2" s="30">
        <v>3.65</v>
      </c>
      <c r="W2" s="30">
        <v>3.9</v>
      </c>
      <c r="X2" s="30">
        <v>4.1000000000000005</v>
      </c>
      <c r="Y2" s="30">
        <v>4.3</v>
      </c>
      <c r="Z2" s="30">
        <v>4.5</v>
      </c>
      <c r="AA2" s="30">
        <v>4.8500000000000005</v>
      </c>
      <c r="AB2" s="30">
        <v>5.0999999999999996</v>
      </c>
      <c r="AC2" s="30">
        <v>5.25</v>
      </c>
      <c r="AD2" s="30">
        <v>5.5</v>
      </c>
      <c r="AE2" s="30">
        <v>5.7</v>
      </c>
      <c r="AF2" s="30">
        <v>5.8999999999999995</v>
      </c>
      <c r="AG2" s="30">
        <v>6.1</v>
      </c>
      <c r="AH2" s="30">
        <v>6.5</v>
      </c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ht="18" customHeight="1" x14ac:dyDescent="0.25">
      <c r="A3" s="76" t="s">
        <v>70</v>
      </c>
      <c r="B3" s="20" t="s">
        <v>6</v>
      </c>
      <c r="C3" s="20" t="str">
        <f>CONCATENATE(B3,D3)</f>
        <v>Новостройка с господдержкой 2020полный срок</v>
      </c>
      <c r="D3" s="29" t="s">
        <v>4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90">
        <v>0.89</v>
      </c>
      <c r="Q3" s="90">
        <v>1.0900000000000001</v>
      </c>
      <c r="R3" s="90">
        <v>1.29</v>
      </c>
      <c r="S3" s="90">
        <v>1.49</v>
      </c>
      <c r="T3" s="90">
        <v>1.59</v>
      </c>
      <c r="U3" s="30">
        <v>1.69</v>
      </c>
      <c r="V3" s="90">
        <v>1.79</v>
      </c>
      <c r="W3" s="30">
        <v>1.8900000000000001</v>
      </c>
      <c r="X3" s="30">
        <v>1.9900000000000002</v>
      </c>
      <c r="Y3" s="31">
        <v>2.09</v>
      </c>
      <c r="Z3" s="31">
        <v>2.19</v>
      </c>
      <c r="AA3" s="31">
        <v>2.29</v>
      </c>
      <c r="AB3" s="31">
        <v>2.39</v>
      </c>
      <c r="AC3" s="31">
        <v>2.4899999999999998</v>
      </c>
      <c r="AD3" s="31">
        <v>2.59</v>
      </c>
      <c r="AE3" s="31">
        <v>2.64</v>
      </c>
      <c r="AF3" s="31">
        <v>2.74</v>
      </c>
      <c r="AG3" s="31">
        <v>2.8899999999999997</v>
      </c>
      <c r="AH3" s="55"/>
      <c r="AI3" s="55"/>
      <c r="AJ3" s="55"/>
      <c r="AK3" s="55"/>
      <c r="AL3" s="55"/>
      <c r="AM3" s="33"/>
      <c r="AN3" s="33"/>
      <c r="AO3" s="33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54" ht="18" customHeight="1" x14ac:dyDescent="0.25">
      <c r="A4" s="76" t="s">
        <v>52</v>
      </c>
      <c r="B4" s="20" t="s">
        <v>10</v>
      </c>
      <c r="C4" s="20" t="str">
        <f>CONCATENATE(B4,D4)</f>
        <v>Семейная ипотекаполный срок</v>
      </c>
      <c r="D4" s="29" t="s">
        <v>4</v>
      </c>
      <c r="E4" s="73">
        <v>0</v>
      </c>
      <c r="F4" s="73">
        <v>0</v>
      </c>
      <c r="G4" s="7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90">
        <v>0.88</v>
      </c>
      <c r="W4" s="90">
        <v>0.89999999999999991</v>
      </c>
      <c r="X4" s="90">
        <v>1.05</v>
      </c>
      <c r="Y4" s="90">
        <v>1.25</v>
      </c>
      <c r="Z4" s="90">
        <v>1.4000000000000001</v>
      </c>
      <c r="AA4" s="90">
        <v>1.5</v>
      </c>
      <c r="AB4" s="90">
        <v>1.69</v>
      </c>
      <c r="AC4" s="90">
        <v>1.79</v>
      </c>
      <c r="AD4" s="90">
        <v>1.8900000000000001</v>
      </c>
      <c r="AE4" s="90">
        <v>1.9900000000000002</v>
      </c>
      <c r="AF4" s="33"/>
      <c r="AG4" s="33"/>
      <c r="AH4" s="33"/>
      <c r="AI4" s="33"/>
      <c r="AJ4" s="33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</row>
    <row r="5" spans="1:54" ht="18" customHeight="1" x14ac:dyDescent="0.25">
      <c r="A5" s="76" t="s">
        <v>53</v>
      </c>
      <c r="B5" s="20" t="s">
        <v>47</v>
      </c>
      <c r="C5" s="75" t="str">
        <f t="shared" si="0"/>
        <v>Семейная ипотека ДФОполный срок</v>
      </c>
      <c r="D5" s="29" t="s">
        <v>4</v>
      </c>
      <c r="E5" s="73">
        <v>0</v>
      </c>
      <c r="F5" s="73">
        <v>0</v>
      </c>
      <c r="G5" s="7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90">
        <v>0.99</v>
      </c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1:54" ht="18" customHeight="1" x14ac:dyDescent="0.25">
      <c r="A6" s="76" t="s">
        <v>54</v>
      </c>
      <c r="B6" s="20" t="s">
        <v>38</v>
      </c>
      <c r="C6" s="20" t="str">
        <f t="shared" si="0"/>
        <v>Ипотека для IT-специалистовполный срок</v>
      </c>
      <c r="D6" s="29" t="s">
        <v>4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90">
        <v>1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4" s="24" customFormat="1" ht="15.75" x14ac:dyDescent="0.25">
      <c r="D7" s="25"/>
      <c r="E7" s="85" t="s">
        <v>77</v>
      </c>
      <c r="F7" s="26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x14ac:dyDescent="0.25">
      <c r="A8" s="23" t="s">
        <v>3</v>
      </c>
      <c r="B8" s="22"/>
      <c r="C8" s="6" t="s">
        <v>32</v>
      </c>
      <c r="D8" s="6" t="s">
        <v>3</v>
      </c>
      <c r="E8" s="54">
        <v>0</v>
      </c>
      <c r="F8" s="54">
        <v>0.01</v>
      </c>
      <c r="G8" s="54">
        <v>1.4999999999999999E-2</v>
      </c>
      <c r="H8" s="54">
        <v>0.02</v>
      </c>
      <c r="I8" s="54">
        <v>2.5000000000000001E-2</v>
      </c>
      <c r="J8" s="54">
        <v>0.03</v>
      </c>
      <c r="K8" s="54">
        <v>3.5000000000000003E-2</v>
      </c>
      <c r="L8" s="54">
        <v>0.04</v>
      </c>
      <c r="M8" s="54">
        <v>4.4999999999999998E-2</v>
      </c>
      <c r="N8" s="54">
        <v>0.05</v>
      </c>
      <c r="O8" s="54">
        <v>5.5E-2</v>
      </c>
      <c r="P8" s="54">
        <v>0.06</v>
      </c>
      <c r="Q8" s="54">
        <v>6.5000000000000002E-2</v>
      </c>
      <c r="R8" s="54">
        <v>7.0000000000000007E-2</v>
      </c>
      <c r="S8" s="54">
        <v>7.4999999999999997E-2</v>
      </c>
      <c r="T8" s="54">
        <v>0.08</v>
      </c>
      <c r="U8" s="54">
        <v>8.5000000000000006E-2</v>
      </c>
      <c r="V8" s="54">
        <v>0.09</v>
      </c>
      <c r="W8" s="54">
        <v>9.5000000000000001E-2</v>
      </c>
      <c r="X8" s="54">
        <v>0.1</v>
      </c>
      <c r="Y8" s="54">
        <v>0.105</v>
      </c>
      <c r="Z8" s="54">
        <v>0.11</v>
      </c>
      <c r="AA8" s="54">
        <v>0.115</v>
      </c>
      <c r="AB8" s="54">
        <v>0.12</v>
      </c>
      <c r="AC8" s="54">
        <v>0.125</v>
      </c>
      <c r="AD8" s="54">
        <v>0.13</v>
      </c>
      <c r="AE8" s="54">
        <v>0.13500000000000001</v>
      </c>
      <c r="AF8" s="54">
        <v>0.14000000000000001</v>
      </c>
      <c r="AG8" s="54">
        <v>0.14499999999999999</v>
      </c>
      <c r="AH8" s="54">
        <v>0.15</v>
      </c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</row>
    <row r="9" spans="1:54" x14ac:dyDescent="0.25">
      <c r="A9" s="23">
        <v>6</v>
      </c>
      <c r="B9" s="22">
        <v>1.0900000000000001</v>
      </c>
      <c r="C9" s="86"/>
      <c r="D9" s="6">
        <v>6</v>
      </c>
      <c r="E9" s="57">
        <v>0</v>
      </c>
      <c r="F9" s="57">
        <v>1.0999999999999999E-2</v>
      </c>
      <c r="G9" s="57">
        <v>1.7000000000000001E-2</v>
      </c>
      <c r="H9" s="57">
        <v>2.2000000000000002E-2</v>
      </c>
      <c r="I9" s="57">
        <v>2.8000000000000001E-2</v>
      </c>
      <c r="J9" s="57">
        <v>3.3000000000000002E-2</v>
      </c>
      <c r="K9" s="57">
        <v>3.9E-2</v>
      </c>
      <c r="L9" s="57">
        <v>4.3999999999999997E-2</v>
      </c>
      <c r="M9" s="57">
        <v>0.05</v>
      </c>
      <c r="N9" s="57">
        <v>5.5E-2</v>
      </c>
      <c r="O9" s="57">
        <v>0.06</v>
      </c>
      <c r="P9" s="57">
        <v>6.6000000000000003E-2</v>
      </c>
      <c r="Q9" s="57">
        <v>7.1000000000000008E-2</v>
      </c>
      <c r="R9" s="57">
        <v>7.6999999999999999E-2</v>
      </c>
      <c r="S9" s="57">
        <v>8.2000000000000003E-2</v>
      </c>
      <c r="T9" s="57">
        <v>8.7999999999999995E-2</v>
      </c>
      <c r="U9" s="57">
        <v>9.2999999999999999E-2</v>
      </c>
      <c r="V9" s="57">
        <v>9.9000000000000005E-2</v>
      </c>
      <c r="W9" s="57">
        <v>0.104</v>
      </c>
      <c r="X9" s="57">
        <v>0.109</v>
      </c>
      <c r="Y9" s="57">
        <v>0.115</v>
      </c>
      <c r="Z9" s="57">
        <v>0.12</v>
      </c>
      <c r="AA9" s="57">
        <v>0.126</v>
      </c>
      <c r="AB9" s="57">
        <v>0.13100000000000001</v>
      </c>
      <c r="AC9" s="57">
        <v>0.13700000000000001</v>
      </c>
      <c r="AD9" s="57">
        <v>0.14199999999999999</v>
      </c>
      <c r="AE9" s="57">
        <v>0.14799999999999999</v>
      </c>
      <c r="AF9" s="57">
        <v>0.153</v>
      </c>
      <c r="AG9" s="57">
        <v>0.159</v>
      </c>
      <c r="AH9" s="57">
        <v>0.16400000000000001</v>
      </c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 x14ac:dyDescent="0.25">
      <c r="A10" s="23">
        <v>12</v>
      </c>
      <c r="B10" s="22">
        <v>1.18</v>
      </c>
      <c r="C10" s="87" t="s">
        <v>71</v>
      </c>
      <c r="D10" s="6">
        <v>12</v>
      </c>
      <c r="E10" s="57">
        <v>0</v>
      </c>
      <c r="F10" s="57">
        <v>1.2E-2</v>
      </c>
      <c r="G10" s="57">
        <v>1.7999999999999999E-2</v>
      </c>
      <c r="H10" s="57">
        <v>2.4E-2</v>
      </c>
      <c r="I10" s="57">
        <v>0.03</v>
      </c>
      <c r="J10" s="57">
        <v>3.5999999999999997E-2</v>
      </c>
      <c r="K10" s="57">
        <v>4.2000000000000003E-2</v>
      </c>
      <c r="L10" s="57">
        <v>4.8000000000000001E-2</v>
      </c>
      <c r="M10" s="57">
        <v>5.3999999999999999E-2</v>
      </c>
      <c r="N10" s="57">
        <v>0.06</v>
      </c>
      <c r="O10" s="57">
        <v>6.6000000000000003E-2</v>
      </c>
      <c r="P10" s="57">
        <v>7.1999999999999995E-2</v>
      </c>
      <c r="Q10" s="57">
        <v>7.8E-2</v>
      </c>
      <c r="R10" s="57">
        <v>8.4000000000000005E-2</v>
      </c>
      <c r="S10" s="57">
        <v>0.09</v>
      </c>
      <c r="T10" s="57">
        <v>9.6000000000000002E-2</v>
      </c>
      <c r="U10" s="57">
        <v>0.10199999999999999</v>
      </c>
      <c r="V10" s="57">
        <v>0.108</v>
      </c>
      <c r="W10" s="57">
        <v>0.114</v>
      </c>
      <c r="X10" s="57">
        <v>0.12</v>
      </c>
      <c r="Y10" s="57">
        <v>0.126</v>
      </c>
      <c r="Z10" s="57">
        <v>0.13200000000000001</v>
      </c>
      <c r="AA10" s="57">
        <v>0.13800000000000001</v>
      </c>
      <c r="AB10" s="57">
        <v>0.14399999999999999</v>
      </c>
      <c r="AC10" s="57">
        <v>0.15</v>
      </c>
      <c r="AD10" s="57">
        <v>0.156</v>
      </c>
      <c r="AE10" s="57">
        <v>0.16200000000000001</v>
      </c>
      <c r="AF10" s="57">
        <v>0.16800000000000001</v>
      </c>
      <c r="AG10" s="57">
        <v>0.17399999999999999</v>
      </c>
      <c r="AH10" s="57">
        <v>0.18</v>
      </c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x14ac:dyDescent="0.25">
      <c r="A11" s="23">
        <v>18</v>
      </c>
      <c r="B11" s="22">
        <v>1.29</v>
      </c>
      <c r="C11" s="88"/>
      <c r="D11" s="6">
        <v>18</v>
      </c>
      <c r="E11" s="57">
        <v>0</v>
      </c>
      <c r="F11" s="57">
        <v>1.3999999999999999E-2</v>
      </c>
      <c r="G11" s="57">
        <v>0.02</v>
      </c>
      <c r="H11" s="57">
        <v>2.7E-2</v>
      </c>
      <c r="I11" s="57">
        <v>3.3000000000000002E-2</v>
      </c>
      <c r="J11" s="57">
        <v>0.04</v>
      </c>
      <c r="K11" s="57">
        <v>4.5999999999999999E-2</v>
      </c>
      <c r="L11" s="57">
        <v>5.2999999999999999E-2</v>
      </c>
      <c r="M11" s="57">
        <v>5.9000000000000004E-2</v>
      </c>
      <c r="N11" s="57">
        <v>6.6000000000000003E-2</v>
      </c>
      <c r="O11" s="57">
        <v>7.2999999999999995E-2</v>
      </c>
      <c r="P11" s="57">
        <v>7.9000000000000001E-2</v>
      </c>
      <c r="Q11" s="57">
        <v>8.6000000000000007E-2</v>
      </c>
      <c r="R11" s="57">
        <v>9.1999999999999998E-2</v>
      </c>
      <c r="S11" s="57">
        <v>9.9000000000000005E-2</v>
      </c>
      <c r="T11" s="57">
        <v>0.105</v>
      </c>
      <c r="U11" s="57">
        <v>0.112</v>
      </c>
      <c r="V11" s="57">
        <v>0.11800000000000001</v>
      </c>
      <c r="W11" s="57">
        <v>0.125</v>
      </c>
      <c r="X11" s="57">
        <v>0.13100000000000001</v>
      </c>
      <c r="Y11" s="57">
        <v>0.13800000000000001</v>
      </c>
      <c r="Z11" s="57">
        <v>0.14499999999999999</v>
      </c>
      <c r="AA11" s="57">
        <v>0.151</v>
      </c>
      <c r="AB11" s="57">
        <v>0.158</v>
      </c>
      <c r="AC11" s="57">
        <v>0.16400000000000001</v>
      </c>
      <c r="AD11" s="57">
        <v>0.17100000000000001</v>
      </c>
      <c r="AE11" s="57">
        <v>0.17699999999999999</v>
      </c>
      <c r="AF11" s="57">
        <v>0.184</v>
      </c>
      <c r="AG11" s="57">
        <v>0.19</v>
      </c>
      <c r="AH11" s="57">
        <v>0.19700000000000001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x14ac:dyDescent="0.25">
      <c r="A12" s="23">
        <v>24</v>
      </c>
      <c r="B12" s="72">
        <v>1.4</v>
      </c>
      <c r="C12" s="89"/>
      <c r="D12" s="6">
        <v>24</v>
      </c>
      <c r="E12" s="57">
        <v>0</v>
      </c>
      <c r="F12" s="57">
        <v>1.4999999999999999E-2</v>
      </c>
      <c r="G12" s="57">
        <v>2.2000000000000002E-2</v>
      </c>
      <c r="H12" s="57">
        <v>2.9000000000000001E-2</v>
      </c>
      <c r="I12" s="57">
        <v>3.6000000000000004E-2</v>
      </c>
      <c r="J12" s="57">
        <v>4.3000000000000003E-2</v>
      </c>
      <c r="K12" s="57">
        <v>5.1000000000000004E-2</v>
      </c>
      <c r="L12" s="57">
        <v>5.8000000000000003E-2</v>
      </c>
      <c r="M12" s="57">
        <v>6.5000000000000002E-2</v>
      </c>
      <c r="N12" s="57">
        <v>7.1999999999999995E-2</v>
      </c>
      <c r="O12" s="57">
        <v>7.9000000000000001E-2</v>
      </c>
      <c r="P12" s="57">
        <v>8.6000000000000007E-2</v>
      </c>
      <c r="Q12" s="57">
        <v>9.2999999999999999E-2</v>
      </c>
      <c r="R12" s="57">
        <v>0.10100000000000001</v>
      </c>
      <c r="S12" s="57">
        <v>0.108</v>
      </c>
      <c r="T12" s="57">
        <v>0.115</v>
      </c>
      <c r="U12" s="57">
        <v>0.122</v>
      </c>
      <c r="V12" s="57">
        <v>0.129</v>
      </c>
      <c r="W12" s="57">
        <v>0.13600000000000001</v>
      </c>
      <c r="X12" s="57">
        <v>0.14299999999999999</v>
      </c>
      <c r="Y12" s="57">
        <v>0.151</v>
      </c>
      <c r="Z12" s="57">
        <v>0.158</v>
      </c>
      <c r="AA12" s="57">
        <v>0.16500000000000001</v>
      </c>
      <c r="AB12" s="57">
        <v>0.17200000000000001</v>
      </c>
      <c r="AC12" s="57">
        <v>0.17899999999999999</v>
      </c>
      <c r="AD12" s="57">
        <v>0.186</v>
      </c>
      <c r="AE12" s="57">
        <v>0.19400000000000001</v>
      </c>
      <c r="AF12" s="57">
        <v>0.20100000000000001</v>
      </c>
      <c r="AG12" s="57">
        <v>0.20799999999999999</v>
      </c>
      <c r="AH12" s="57">
        <v>0.215</v>
      </c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 x14ac:dyDescent="0.25">
      <c r="E13" s="85" t="s">
        <v>78</v>
      </c>
    </row>
    <row r="14" spans="1:54" x14ac:dyDescent="0.25">
      <c r="C14" s="6" t="s">
        <v>32</v>
      </c>
      <c r="D14" s="6" t="s">
        <v>3</v>
      </c>
      <c r="E14" s="54">
        <v>0</v>
      </c>
      <c r="F14" s="54">
        <v>3.4000000000000002E-2</v>
      </c>
      <c r="G14" s="54">
        <v>3.9E-2</v>
      </c>
      <c r="H14" s="54">
        <v>4.4000000000000004E-2</v>
      </c>
      <c r="I14" s="54">
        <v>4.9000000000000002E-2</v>
      </c>
      <c r="J14" s="54">
        <v>5.4000000000000006E-2</v>
      </c>
      <c r="K14" s="54">
        <v>5.9000000000000004E-2</v>
      </c>
      <c r="L14" s="54">
        <v>6.4000000000000001E-2</v>
      </c>
      <c r="M14" s="54">
        <v>6.9000000000000006E-2</v>
      </c>
      <c r="N14" s="54">
        <v>7.400000000000001E-2</v>
      </c>
      <c r="O14" s="54">
        <v>7.9000000000000001E-2</v>
      </c>
      <c r="P14" s="54">
        <v>8.4000000000000005E-2</v>
      </c>
      <c r="Q14" s="54">
        <v>8.900000000000001E-2</v>
      </c>
      <c r="R14" s="54">
        <v>9.4E-2</v>
      </c>
      <c r="S14" s="54">
        <v>9.9000000000000005E-2</v>
      </c>
      <c r="T14" s="54">
        <v>0.10400000000000001</v>
      </c>
      <c r="U14" s="54">
        <v>0.109</v>
      </c>
      <c r="V14" s="54">
        <v>0.114</v>
      </c>
      <c r="W14" s="54">
        <v>0.11900000000000001</v>
      </c>
      <c r="X14" s="54">
        <v>0.124</v>
      </c>
      <c r="Y14" s="54">
        <v>0.129</v>
      </c>
      <c r="Z14" s="54">
        <v>0.13400000000000001</v>
      </c>
      <c r="AA14" s="54">
        <v>0.13900000000000001</v>
      </c>
      <c r="AB14" s="54">
        <v>0.14400000000000002</v>
      </c>
      <c r="AC14" s="54">
        <v>0.14899999999999999</v>
      </c>
      <c r="AD14" s="54">
        <v>0.154</v>
      </c>
      <c r="AE14" s="54">
        <v>0.159</v>
      </c>
      <c r="AF14" s="54">
        <v>0.16399999999999998</v>
      </c>
      <c r="AG14" s="54">
        <v>0.16899999999999998</v>
      </c>
      <c r="AH14" s="54">
        <v>0.17399999999999999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</row>
    <row r="15" spans="1:54" x14ac:dyDescent="0.25">
      <c r="C15" s="86"/>
      <c r="D15" s="6">
        <v>6</v>
      </c>
      <c r="E15" s="57">
        <v>0</v>
      </c>
      <c r="F15" s="54">
        <v>3.7999999999999999E-2</v>
      </c>
      <c r="G15" s="54">
        <v>4.3000000000000003E-2</v>
      </c>
      <c r="H15" s="54">
        <v>4.8000000000000001E-2</v>
      </c>
      <c r="I15" s="54">
        <v>5.3999999999999999E-2</v>
      </c>
      <c r="J15" s="54">
        <v>5.9000000000000004E-2</v>
      </c>
      <c r="K15" s="54">
        <v>6.5000000000000002E-2</v>
      </c>
      <c r="L15" s="54">
        <v>7.0000000000000007E-2</v>
      </c>
      <c r="M15" s="54">
        <v>7.5999999999999998E-2</v>
      </c>
      <c r="N15" s="54">
        <v>8.1000000000000003E-2</v>
      </c>
      <c r="O15" s="54">
        <v>8.6999999999999994E-2</v>
      </c>
      <c r="P15" s="54">
        <v>9.1999999999999998E-2</v>
      </c>
      <c r="Q15" s="54">
        <v>9.8000000000000004E-2</v>
      </c>
      <c r="R15" s="54">
        <v>0.10299999999999999</v>
      </c>
      <c r="S15" s="54">
        <v>0.108</v>
      </c>
      <c r="T15" s="54">
        <v>0.114</v>
      </c>
      <c r="U15" s="54">
        <v>0.11899999999999999</v>
      </c>
      <c r="V15" s="54">
        <v>0.125</v>
      </c>
      <c r="W15" s="54">
        <v>0.13</v>
      </c>
      <c r="X15" s="54">
        <v>0.13600000000000001</v>
      </c>
      <c r="Y15" s="54">
        <v>0.14100000000000001</v>
      </c>
      <c r="Z15" s="54">
        <v>0.14699999999999999</v>
      </c>
      <c r="AA15" s="54">
        <v>0.152</v>
      </c>
      <c r="AB15" s="54">
        <v>0.157</v>
      </c>
      <c r="AC15" s="54">
        <v>0.16300000000000001</v>
      </c>
      <c r="AD15" s="54">
        <v>0.16800000000000001</v>
      </c>
      <c r="AE15" s="54">
        <v>0.17399999999999999</v>
      </c>
      <c r="AF15" s="54">
        <v>0.17899999999999999</v>
      </c>
      <c r="AG15" s="54">
        <v>0.185</v>
      </c>
      <c r="AH15" s="54">
        <v>0.19</v>
      </c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</row>
    <row r="16" spans="1:54" x14ac:dyDescent="0.25">
      <c r="C16" s="87" t="s">
        <v>72</v>
      </c>
      <c r="D16" s="6">
        <v>12</v>
      </c>
      <c r="E16" s="57">
        <v>0</v>
      </c>
      <c r="F16" s="54">
        <v>4.1000000000000002E-2</v>
      </c>
      <c r="G16" s="54">
        <v>4.7E-2</v>
      </c>
      <c r="H16" s="54">
        <v>5.2999999999999999E-2</v>
      </c>
      <c r="I16" s="54">
        <v>5.9000000000000004E-2</v>
      </c>
      <c r="J16" s="54">
        <v>6.5000000000000002E-2</v>
      </c>
      <c r="K16" s="54">
        <v>7.1000000000000008E-2</v>
      </c>
      <c r="L16" s="54">
        <v>7.6999999999999999E-2</v>
      </c>
      <c r="M16" s="54">
        <v>8.3000000000000004E-2</v>
      </c>
      <c r="N16" s="54">
        <v>8.8999999999999996E-2</v>
      </c>
      <c r="O16" s="54">
        <v>9.5000000000000001E-2</v>
      </c>
      <c r="P16" s="54">
        <v>0.10100000000000001</v>
      </c>
      <c r="Q16" s="54">
        <v>0.107</v>
      </c>
      <c r="R16" s="54">
        <v>0.113</v>
      </c>
      <c r="S16" s="54">
        <v>0.11899999999999999</v>
      </c>
      <c r="T16" s="54">
        <v>0.125</v>
      </c>
      <c r="U16" s="54">
        <v>0.13100000000000001</v>
      </c>
      <c r="V16" s="54">
        <v>0.13700000000000001</v>
      </c>
      <c r="W16" s="54">
        <v>0.14299999999999999</v>
      </c>
      <c r="X16" s="54">
        <v>0.14899999999999999</v>
      </c>
      <c r="Y16" s="54">
        <v>0.155</v>
      </c>
      <c r="Z16" s="54">
        <v>0.161</v>
      </c>
      <c r="AA16" s="54">
        <v>0.16700000000000001</v>
      </c>
      <c r="AB16" s="54">
        <v>0.17299999999999999</v>
      </c>
      <c r="AC16" s="54">
        <v>0.17899999999999999</v>
      </c>
      <c r="AD16" s="54">
        <v>0.185</v>
      </c>
      <c r="AE16" s="54">
        <v>0.191</v>
      </c>
      <c r="AF16" s="54">
        <v>0.19700000000000001</v>
      </c>
      <c r="AG16" s="54">
        <v>0.20300000000000001</v>
      </c>
      <c r="AH16" s="54">
        <v>0.20899999999999999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</row>
    <row r="17" spans="1:54" s="43" customFormat="1" x14ac:dyDescent="0.25">
      <c r="C17" s="88"/>
      <c r="D17" s="6">
        <v>18</v>
      </c>
      <c r="E17" s="57">
        <v>0</v>
      </c>
      <c r="F17" s="54">
        <v>4.4999999999999998E-2</v>
      </c>
      <c r="G17" s="54">
        <v>5.1999999999999998E-2</v>
      </c>
      <c r="H17" s="54">
        <v>5.8000000000000003E-2</v>
      </c>
      <c r="I17" s="54">
        <v>6.5000000000000002E-2</v>
      </c>
      <c r="J17" s="54">
        <v>7.1000000000000008E-2</v>
      </c>
      <c r="K17" s="54">
        <v>7.8E-2</v>
      </c>
      <c r="L17" s="54">
        <v>8.4000000000000005E-2</v>
      </c>
      <c r="M17" s="54">
        <v>9.0999999999999998E-2</v>
      </c>
      <c r="N17" s="54">
        <v>9.7000000000000003E-2</v>
      </c>
      <c r="O17" s="54">
        <v>0.104</v>
      </c>
      <c r="P17" s="54">
        <v>0.111</v>
      </c>
      <c r="Q17" s="54">
        <v>0.11700000000000001</v>
      </c>
      <c r="R17" s="54">
        <v>0.124</v>
      </c>
      <c r="S17" s="54">
        <v>0.13</v>
      </c>
      <c r="T17" s="54">
        <v>0.13700000000000001</v>
      </c>
      <c r="U17" s="54">
        <v>0.14299999999999999</v>
      </c>
      <c r="V17" s="54">
        <v>0.15</v>
      </c>
      <c r="W17" s="54">
        <v>0.156</v>
      </c>
      <c r="X17" s="54">
        <v>0.16300000000000001</v>
      </c>
      <c r="Y17" s="54">
        <v>0.16900000000000001</v>
      </c>
      <c r="Z17" s="54">
        <v>0.17599999999999999</v>
      </c>
      <c r="AA17" s="54">
        <v>0.183</v>
      </c>
      <c r="AB17" s="54">
        <v>0.189</v>
      </c>
      <c r="AC17" s="54">
        <v>0.19600000000000001</v>
      </c>
      <c r="AD17" s="54">
        <v>0.20200000000000001</v>
      </c>
      <c r="AE17" s="54">
        <v>0.20899999999999999</v>
      </c>
      <c r="AF17" s="54">
        <v>0.215</v>
      </c>
      <c r="AG17" s="54">
        <v>0.222</v>
      </c>
      <c r="AH17" s="54">
        <v>0.22800000000000001</v>
      </c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</row>
    <row r="18" spans="1:54" s="43" customFormat="1" x14ac:dyDescent="0.25">
      <c r="C18" s="89"/>
      <c r="D18" s="6">
        <v>24</v>
      </c>
      <c r="E18" s="57">
        <v>0</v>
      </c>
      <c r="F18" s="54">
        <v>4.9000000000000002E-2</v>
      </c>
      <c r="G18" s="54">
        <v>5.6000000000000001E-2</v>
      </c>
      <c r="H18" s="54">
        <v>6.3E-2</v>
      </c>
      <c r="I18" s="54">
        <v>7.1000000000000008E-2</v>
      </c>
      <c r="J18" s="54">
        <v>7.8E-2</v>
      </c>
      <c r="K18" s="54">
        <v>8.5000000000000006E-2</v>
      </c>
      <c r="L18" s="54">
        <v>9.1999999999999998E-2</v>
      </c>
      <c r="M18" s="54">
        <v>9.9000000000000005E-2</v>
      </c>
      <c r="N18" s="54">
        <v>0.106</v>
      </c>
      <c r="O18" s="54">
        <v>0.113</v>
      </c>
      <c r="P18" s="54">
        <v>0.121</v>
      </c>
      <c r="Q18" s="54">
        <v>0.128</v>
      </c>
      <c r="R18" s="54">
        <v>0.13500000000000001</v>
      </c>
      <c r="S18" s="54">
        <v>0.14199999999999999</v>
      </c>
      <c r="T18" s="54">
        <v>0.14899999999999999</v>
      </c>
      <c r="U18" s="54">
        <v>0.156</v>
      </c>
      <c r="V18" s="54">
        <v>0.16400000000000001</v>
      </c>
      <c r="W18" s="54">
        <v>0.17100000000000001</v>
      </c>
      <c r="X18" s="54">
        <v>0.17799999999999999</v>
      </c>
      <c r="Y18" s="54">
        <v>0.185</v>
      </c>
      <c r="Z18" s="54">
        <v>0.192</v>
      </c>
      <c r="AA18" s="54">
        <v>0.19900000000000001</v>
      </c>
      <c r="AB18" s="54">
        <v>0.20599999999999999</v>
      </c>
      <c r="AC18" s="54">
        <v>0.214</v>
      </c>
      <c r="AD18" s="54">
        <v>0.221</v>
      </c>
      <c r="AE18" s="54">
        <v>0.22800000000000001</v>
      </c>
      <c r="AF18" s="54">
        <v>0.23500000000000001</v>
      </c>
      <c r="AG18" s="54">
        <v>0.24199999999999999</v>
      </c>
      <c r="AH18" s="54">
        <v>0.249</v>
      </c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</row>
    <row r="19" spans="1:54" s="43" customFormat="1" x14ac:dyDescent="0.25">
      <c r="F19" s="44"/>
      <c r="G19" s="44"/>
      <c r="H19" s="44"/>
      <c r="I19" s="44"/>
      <c r="J19" s="44"/>
      <c r="K19" s="44"/>
      <c r="L19" s="44"/>
    </row>
    <row r="20" spans="1:54" s="43" customFormat="1" x14ac:dyDescent="0.25"/>
    <row r="21" spans="1:54" s="43" customFormat="1" x14ac:dyDescent="0.25"/>
    <row r="22" spans="1:54" s="43" customFormat="1" ht="15.75" x14ac:dyDescent="0.25">
      <c r="D22" s="24"/>
      <c r="E22" s="85" t="s">
        <v>76</v>
      </c>
    </row>
    <row r="23" spans="1:54" s="43" customFormat="1" x14ac:dyDescent="0.25">
      <c r="A23" s="81"/>
      <c r="D23" s="45">
        <v>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18">
        <v>0.25</v>
      </c>
      <c r="Z23" s="18">
        <v>0.5</v>
      </c>
      <c r="AA23" s="18">
        <v>0.75</v>
      </c>
      <c r="AB23" s="18">
        <v>1</v>
      </c>
      <c r="AC23" s="18">
        <v>1.25</v>
      </c>
      <c r="AD23" s="18">
        <v>1.5</v>
      </c>
      <c r="AE23" s="18">
        <v>1.7500000000000002</v>
      </c>
      <c r="AF23" s="18">
        <v>2</v>
      </c>
      <c r="AG23" s="18">
        <v>2.25</v>
      </c>
      <c r="AH23" s="18">
        <v>2.5</v>
      </c>
      <c r="AI23" s="18">
        <v>2.75</v>
      </c>
      <c r="AJ23" s="18">
        <v>3</v>
      </c>
      <c r="AK23" s="18">
        <v>3.25</v>
      </c>
      <c r="AL23" s="18">
        <v>3.5000000000000004</v>
      </c>
      <c r="AM23" s="18">
        <v>3.75</v>
      </c>
      <c r="AN23" s="18">
        <v>4</v>
      </c>
    </row>
    <row r="24" spans="1:54" s="43" customFormat="1" x14ac:dyDescent="0.25">
      <c r="A24" s="81" t="s">
        <v>3</v>
      </c>
      <c r="B24" s="43" t="s">
        <v>6</v>
      </c>
      <c r="C24" s="43" t="str">
        <f>CONCATENATE(A24,B24,D24)</f>
        <v>без отсрочкиНовостройка с господдержкой 20206</v>
      </c>
      <c r="D24" s="46">
        <v>6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16"/>
    </row>
    <row r="25" spans="1:54" s="43" customFormat="1" x14ac:dyDescent="0.25">
      <c r="A25" s="81" t="s">
        <v>3</v>
      </c>
      <c r="B25" s="43" t="s">
        <v>6</v>
      </c>
      <c r="C25" s="43" t="str">
        <f t="shared" ref="C25:C86" si="1">CONCATENATE(A25,B25,D25)</f>
        <v>без отсрочкиНовостройка с господдержкой 202012</v>
      </c>
      <c r="D25" s="46">
        <v>12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16"/>
    </row>
    <row r="26" spans="1:54" s="43" customFormat="1" x14ac:dyDescent="0.25">
      <c r="A26" s="81" t="s">
        <v>3</v>
      </c>
      <c r="B26" s="43" t="s">
        <v>6</v>
      </c>
      <c r="C26" s="43" t="str">
        <f t="shared" si="1"/>
        <v>без отсрочкиНовостройка с господдержкой 202024</v>
      </c>
      <c r="D26" s="46">
        <v>24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16"/>
    </row>
    <row r="27" spans="1:54" s="43" customFormat="1" x14ac:dyDescent="0.25">
      <c r="A27" s="81" t="s">
        <v>3</v>
      </c>
      <c r="B27" s="43" t="s">
        <v>6</v>
      </c>
      <c r="C27" s="43" t="str">
        <f t="shared" si="1"/>
        <v>без отсрочкиНовостройка с господдержкой 202036</v>
      </c>
      <c r="D27" s="46">
        <v>36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16"/>
    </row>
    <row r="28" spans="1:54" s="43" customFormat="1" x14ac:dyDescent="0.25">
      <c r="A28" s="81" t="s">
        <v>3</v>
      </c>
      <c r="B28" s="43" t="s">
        <v>6</v>
      </c>
      <c r="C28" s="43" t="str">
        <f t="shared" si="1"/>
        <v>без отсрочкиНовостройка с господдержкой 202048</v>
      </c>
      <c r="D28" s="46">
        <v>48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16"/>
      <c r="T28" s="16"/>
      <c r="U28" s="16"/>
      <c r="V28" s="16"/>
      <c r="W28" s="16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16"/>
    </row>
    <row r="29" spans="1:54" s="43" customFormat="1" x14ac:dyDescent="0.25">
      <c r="A29" s="81" t="s">
        <v>3</v>
      </c>
      <c r="B29" s="43" t="s">
        <v>6</v>
      </c>
      <c r="C29" s="43" t="str">
        <f t="shared" si="1"/>
        <v>без отсрочкиНовостройка с господдержкой 202060</v>
      </c>
      <c r="D29" s="46">
        <v>60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6"/>
      <c r="T29" s="16"/>
      <c r="U29" s="16"/>
      <c r="V29" s="16"/>
      <c r="W29" s="16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16"/>
    </row>
    <row r="30" spans="1:54" s="43" customFormat="1" x14ac:dyDescent="0.25">
      <c r="A30" s="81" t="s">
        <v>3</v>
      </c>
      <c r="B30" s="43" t="s">
        <v>10</v>
      </c>
      <c r="C30" s="43" t="str">
        <f t="shared" si="1"/>
        <v>без отсрочкиСемейная ипотека6</v>
      </c>
      <c r="D30" s="46">
        <v>6</v>
      </c>
      <c r="E30" s="77"/>
      <c r="F30" s="77"/>
      <c r="G30" s="77"/>
      <c r="H30" s="77"/>
      <c r="I30" s="77"/>
      <c r="J30" s="77"/>
      <c r="K30" s="7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Y30" s="51"/>
      <c r="Z30" s="51"/>
      <c r="AA30" s="51"/>
      <c r="AB30" s="51"/>
      <c r="AC30" s="51"/>
      <c r="AD30" s="51"/>
      <c r="AE30" s="51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54" s="43" customFormat="1" x14ac:dyDescent="0.25">
      <c r="A31" s="81" t="s">
        <v>3</v>
      </c>
      <c r="B31" s="43" t="s">
        <v>10</v>
      </c>
      <c r="C31" s="43" t="str">
        <f t="shared" si="1"/>
        <v>без отсрочкиСемейная ипотека12</v>
      </c>
      <c r="D31" s="46">
        <v>12</v>
      </c>
      <c r="E31" s="77"/>
      <c r="F31" s="77"/>
      <c r="G31" s="77"/>
      <c r="H31" s="77"/>
      <c r="I31" s="77"/>
      <c r="J31" s="77"/>
      <c r="K31" s="7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Y31" s="51"/>
      <c r="Z31" s="51"/>
      <c r="AA31" s="51"/>
      <c r="AB31" s="51"/>
      <c r="AC31" s="51"/>
      <c r="AD31" s="51"/>
      <c r="AE31" s="51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54" s="43" customFormat="1" x14ac:dyDescent="0.25">
      <c r="A32" s="81" t="s">
        <v>3</v>
      </c>
      <c r="B32" s="43" t="s">
        <v>10</v>
      </c>
      <c r="C32" s="43" t="str">
        <f t="shared" si="1"/>
        <v>без отсрочкиСемейная ипотека24</v>
      </c>
      <c r="D32" s="46">
        <v>24</v>
      </c>
      <c r="E32" s="77"/>
      <c r="F32" s="77"/>
      <c r="G32" s="77"/>
      <c r="H32" s="77"/>
      <c r="I32" s="77"/>
      <c r="J32" s="77"/>
      <c r="K32" s="7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Y32" s="51"/>
      <c r="Z32" s="51"/>
      <c r="AA32" s="51"/>
      <c r="AB32" s="51"/>
      <c r="AC32" s="51"/>
      <c r="AD32" s="51"/>
      <c r="AE32" s="51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54" s="43" customFormat="1" x14ac:dyDescent="0.25">
      <c r="A33" s="81" t="s">
        <v>3</v>
      </c>
      <c r="B33" s="43" t="s">
        <v>10</v>
      </c>
      <c r="C33" s="43" t="str">
        <f t="shared" si="1"/>
        <v>без отсрочкиСемейная ипотека36</v>
      </c>
      <c r="D33" s="46">
        <v>36</v>
      </c>
      <c r="E33" s="77"/>
      <c r="F33" s="77"/>
      <c r="G33" s="77"/>
      <c r="H33" s="77"/>
      <c r="I33" s="77"/>
      <c r="J33" s="77"/>
      <c r="K33" s="7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Y33" s="51"/>
      <c r="Z33" s="51"/>
      <c r="AA33" s="51"/>
      <c r="AB33" s="51"/>
      <c r="AC33" s="51"/>
      <c r="AD33" s="51"/>
      <c r="AE33" s="51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54" s="43" customFormat="1" x14ac:dyDescent="0.25">
      <c r="A34" s="81" t="s">
        <v>3</v>
      </c>
      <c r="B34" s="43" t="s">
        <v>10</v>
      </c>
      <c r="C34" s="43" t="str">
        <f t="shared" si="1"/>
        <v>без отсрочкиСемейная ипотека48</v>
      </c>
      <c r="D34" s="46">
        <v>48</v>
      </c>
      <c r="E34" s="77"/>
      <c r="F34" s="77"/>
      <c r="G34" s="77"/>
      <c r="H34" s="77"/>
      <c r="I34" s="77"/>
      <c r="J34" s="77"/>
      <c r="K34" s="7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Y34" s="51"/>
      <c r="Z34" s="51"/>
      <c r="AA34" s="51"/>
      <c r="AB34" s="51"/>
      <c r="AC34" s="51"/>
      <c r="AD34" s="51"/>
      <c r="AE34" s="51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54" s="43" customFormat="1" x14ac:dyDescent="0.25">
      <c r="A35" s="81" t="s">
        <v>3</v>
      </c>
      <c r="B35" s="43" t="s">
        <v>10</v>
      </c>
      <c r="C35" s="43" t="str">
        <f t="shared" si="1"/>
        <v>без отсрочкиСемейная ипотека60</v>
      </c>
      <c r="D35" s="46">
        <v>60</v>
      </c>
      <c r="E35" s="77"/>
      <c r="F35" s="77"/>
      <c r="G35" s="77"/>
      <c r="H35" s="77"/>
      <c r="I35" s="77"/>
      <c r="J35" s="77"/>
      <c r="K35" s="7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Y35" s="51"/>
      <c r="Z35" s="51"/>
      <c r="AA35" s="51"/>
      <c r="AB35" s="51"/>
      <c r="AC35" s="51"/>
      <c r="AD35" s="51"/>
      <c r="AE35" s="51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54" s="43" customFormat="1" x14ac:dyDescent="0.25">
      <c r="A36" s="81" t="s">
        <v>3</v>
      </c>
      <c r="B36" s="43" t="s">
        <v>47</v>
      </c>
      <c r="C36" s="43" t="str">
        <f t="shared" si="1"/>
        <v>без отсрочкиСемейная ипотека ДФО6</v>
      </c>
      <c r="D36" s="46">
        <v>6</v>
      </c>
      <c r="E36" s="77"/>
      <c r="F36" s="77"/>
      <c r="G36" s="7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Y36" s="51"/>
      <c r="Z36" s="51"/>
      <c r="AA36" s="51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54" s="43" customFormat="1" x14ac:dyDescent="0.25">
      <c r="A37" s="81" t="s">
        <v>3</v>
      </c>
      <c r="B37" s="43" t="s">
        <v>47</v>
      </c>
      <c r="C37" s="43" t="str">
        <f t="shared" si="1"/>
        <v>без отсрочкиСемейная ипотека ДФО12</v>
      </c>
      <c r="D37" s="46">
        <v>12</v>
      </c>
      <c r="E37" s="77"/>
      <c r="F37" s="77"/>
      <c r="G37" s="7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Y37" s="51"/>
      <c r="Z37" s="51"/>
      <c r="AA37" s="51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54" s="43" customFormat="1" x14ac:dyDescent="0.25">
      <c r="A38" s="81" t="s">
        <v>3</v>
      </c>
      <c r="B38" s="43" t="s">
        <v>47</v>
      </c>
      <c r="C38" s="43" t="str">
        <f t="shared" si="1"/>
        <v>без отсрочкиСемейная ипотека ДФО24</v>
      </c>
      <c r="D38" s="46">
        <v>24</v>
      </c>
      <c r="E38" s="77"/>
      <c r="F38" s="77"/>
      <c r="G38" s="7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Y38" s="51"/>
      <c r="Z38" s="51"/>
      <c r="AA38" s="51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54" s="43" customFormat="1" x14ac:dyDescent="0.25">
      <c r="A39" s="81" t="s">
        <v>3</v>
      </c>
      <c r="B39" s="43" t="s">
        <v>47</v>
      </c>
      <c r="C39" s="43" t="str">
        <f t="shared" si="1"/>
        <v>без отсрочкиСемейная ипотека ДФО36</v>
      </c>
      <c r="D39" s="46">
        <v>36</v>
      </c>
      <c r="E39" s="77"/>
      <c r="F39" s="77"/>
      <c r="G39" s="77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Y39" s="51"/>
      <c r="Z39" s="51"/>
      <c r="AA39" s="51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54" s="43" customFormat="1" x14ac:dyDescent="0.25">
      <c r="A40" s="81" t="s">
        <v>3</v>
      </c>
      <c r="B40" s="43" t="s">
        <v>47</v>
      </c>
      <c r="C40" s="43" t="str">
        <f t="shared" si="1"/>
        <v>без отсрочкиСемейная ипотека ДФО48</v>
      </c>
      <c r="D40" s="46">
        <v>48</v>
      </c>
      <c r="E40" s="77"/>
      <c r="F40" s="77"/>
      <c r="G40" s="7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Y40" s="51"/>
      <c r="Z40" s="51"/>
      <c r="AA40" s="51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54" s="43" customFormat="1" x14ac:dyDescent="0.25">
      <c r="A41" s="81" t="s">
        <v>3</v>
      </c>
      <c r="B41" s="43" t="s">
        <v>47</v>
      </c>
      <c r="C41" s="43" t="str">
        <f t="shared" si="1"/>
        <v>без отсрочкиСемейная ипотека ДФО60</v>
      </c>
      <c r="D41" s="46">
        <v>60</v>
      </c>
      <c r="E41" s="77"/>
      <c r="F41" s="77"/>
      <c r="G41" s="7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Y41" s="51"/>
      <c r="Z41" s="51"/>
      <c r="AA41" s="51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54" s="43" customFormat="1" x14ac:dyDescent="0.25">
      <c r="A42" s="81" t="s">
        <v>3</v>
      </c>
      <c r="B42" s="43" t="s">
        <v>38</v>
      </c>
      <c r="C42" s="43" t="str">
        <f t="shared" si="1"/>
        <v>без отсрочкиИпотека для IT-специалистов6</v>
      </c>
      <c r="D42" s="46">
        <v>6</v>
      </c>
      <c r="E42" s="77"/>
      <c r="F42" s="77"/>
      <c r="G42" s="77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Y42" s="51"/>
      <c r="Z42" s="51"/>
      <c r="AA42" s="51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54" s="43" customFormat="1" x14ac:dyDescent="0.25">
      <c r="A43" s="81" t="s">
        <v>3</v>
      </c>
      <c r="B43" s="43" t="s">
        <v>38</v>
      </c>
      <c r="C43" s="43" t="str">
        <f t="shared" si="1"/>
        <v>без отсрочкиИпотека для IT-специалистов12</v>
      </c>
      <c r="D43" s="46">
        <v>12</v>
      </c>
      <c r="E43" s="77"/>
      <c r="F43" s="77"/>
      <c r="G43" s="7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Y43" s="51"/>
      <c r="Z43" s="51"/>
      <c r="AA43" s="51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54" s="43" customFormat="1" x14ac:dyDescent="0.25">
      <c r="A44" s="81" t="s">
        <v>3</v>
      </c>
      <c r="B44" s="43" t="s">
        <v>38</v>
      </c>
      <c r="C44" s="43" t="str">
        <f t="shared" si="1"/>
        <v>без отсрочкиИпотека для IT-специалистов24</v>
      </c>
      <c r="D44" s="46">
        <v>24</v>
      </c>
      <c r="E44" s="77"/>
      <c r="F44" s="77"/>
      <c r="G44" s="77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Y44" s="51"/>
      <c r="Z44" s="51"/>
      <c r="AA44" s="51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54" s="43" customFormat="1" x14ac:dyDescent="0.25">
      <c r="A45" s="81" t="s">
        <v>3</v>
      </c>
      <c r="B45" s="43" t="s">
        <v>38</v>
      </c>
      <c r="C45" s="43" t="str">
        <f t="shared" si="1"/>
        <v>без отсрочкиИпотека для IT-специалистов36</v>
      </c>
      <c r="D45" s="46">
        <v>36</v>
      </c>
      <c r="E45" s="77"/>
      <c r="F45" s="77"/>
      <c r="G45" s="77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Y45" s="51"/>
      <c r="Z45" s="51"/>
      <c r="AA45" s="51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54" s="43" customFormat="1" x14ac:dyDescent="0.25">
      <c r="A46" s="81" t="s">
        <v>3</v>
      </c>
      <c r="B46" s="43" t="s">
        <v>38</v>
      </c>
      <c r="C46" s="43" t="str">
        <f t="shared" si="1"/>
        <v>без отсрочкиИпотека для IT-специалистов48</v>
      </c>
      <c r="D46" s="46">
        <v>48</v>
      </c>
      <c r="E46" s="77"/>
      <c r="F46" s="77"/>
      <c r="G46" s="7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Y46" s="51"/>
      <c r="Z46" s="51"/>
      <c r="AA46" s="51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54" s="43" customFormat="1" x14ac:dyDescent="0.25">
      <c r="A47" s="81" t="s">
        <v>3</v>
      </c>
      <c r="B47" s="43" t="s">
        <v>38</v>
      </c>
      <c r="C47" s="43" t="str">
        <f t="shared" si="1"/>
        <v>без отсрочкиИпотека для IT-специалистов60</v>
      </c>
      <c r="D47" s="46">
        <v>60</v>
      </c>
      <c r="E47" s="77"/>
      <c r="F47" s="77"/>
      <c r="G47" s="7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Y47" s="51"/>
      <c r="Z47" s="51"/>
      <c r="AA47" s="51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54" s="43" customFormat="1" x14ac:dyDescent="0.25">
      <c r="A48" s="81"/>
      <c r="D48" s="45">
        <v>1</v>
      </c>
      <c r="E48" s="18"/>
      <c r="F48" s="18"/>
      <c r="G48" s="18"/>
      <c r="H48" s="18"/>
      <c r="I48" s="18"/>
      <c r="J48" s="18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Y48" s="47">
        <v>0.5</v>
      </c>
      <c r="Z48" s="47">
        <v>1</v>
      </c>
      <c r="AA48" s="47">
        <v>1.5</v>
      </c>
      <c r="AB48" s="47">
        <v>2</v>
      </c>
      <c r="AC48" s="47">
        <v>2.5</v>
      </c>
      <c r="AD48" s="47">
        <v>3</v>
      </c>
      <c r="AE48" s="47">
        <v>3.5</v>
      </c>
      <c r="AF48" s="47">
        <v>4</v>
      </c>
      <c r="AG48" s="47">
        <v>4.5</v>
      </c>
      <c r="AH48" s="47">
        <v>5</v>
      </c>
      <c r="AI48" s="47">
        <v>5.5</v>
      </c>
      <c r="AJ48" s="47">
        <v>6</v>
      </c>
      <c r="AK48" s="47">
        <v>6.5</v>
      </c>
      <c r="AL48" s="47">
        <v>7</v>
      </c>
      <c r="AM48" s="47">
        <v>7.5</v>
      </c>
      <c r="AN48" s="47">
        <v>8</v>
      </c>
      <c r="AO48" s="47">
        <v>8.5</v>
      </c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</row>
    <row r="49" spans="1:54" s="43" customFormat="1" x14ac:dyDescent="0.25">
      <c r="A49" s="81" t="s">
        <v>3</v>
      </c>
      <c r="B49" s="43" t="s">
        <v>5</v>
      </c>
      <c r="C49" s="43" t="str">
        <f t="shared" si="1"/>
        <v>без отсрочкиНовостройка6</v>
      </c>
      <c r="D49" s="46">
        <v>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</row>
    <row r="50" spans="1:54" s="43" customFormat="1" x14ac:dyDescent="0.25">
      <c r="A50" s="81" t="s">
        <v>3</v>
      </c>
      <c r="B50" s="43" t="s">
        <v>5</v>
      </c>
      <c r="C50" s="43" t="str">
        <f t="shared" si="1"/>
        <v>без отсрочкиНовостройка12</v>
      </c>
      <c r="D50" s="46">
        <v>12</v>
      </c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</row>
    <row r="51" spans="1:54" s="43" customFormat="1" x14ac:dyDescent="0.25">
      <c r="A51" s="81" t="s">
        <v>3</v>
      </c>
      <c r="B51" s="43" t="s">
        <v>5</v>
      </c>
      <c r="C51" s="43" t="str">
        <f t="shared" si="1"/>
        <v>без отсрочкиНовостройка24</v>
      </c>
      <c r="D51" s="46">
        <v>24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48"/>
      <c r="Q51" s="48"/>
      <c r="R51" s="48"/>
      <c r="S51" s="48"/>
      <c r="T51" s="48"/>
      <c r="U51" s="48"/>
      <c r="V51" s="48"/>
      <c r="W51" s="48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</row>
    <row r="52" spans="1:54" s="43" customFormat="1" x14ac:dyDescent="0.25">
      <c r="A52" s="81" t="s">
        <v>3</v>
      </c>
      <c r="B52" s="43" t="s">
        <v>5</v>
      </c>
      <c r="C52" s="43" t="str">
        <f t="shared" si="1"/>
        <v>без отсрочкиНовостройка36</v>
      </c>
      <c r="D52" s="46">
        <v>36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50"/>
      <c r="P52" s="48"/>
      <c r="Q52" s="48"/>
      <c r="R52" s="48"/>
      <c r="S52" s="48"/>
      <c r="T52" s="48"/>
      <c r="U52" s="48"/>
      <c r="V52" s="48"/>
      <c r="W52" s="48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</row>
    <row r="53" spans="1:54" s="43" customFormat="1" x14ac:dyDescent="0.25">
      <c r="A53" s="81" t="s">
        <v>3</v>
      </c>
      <c r="B53" s="43" t="s">
        <v>5</v>
      </c>
      <c r="C53" s="43" t="str">
        <f t="shared" si="1"/>
        <v>без отсрочкиНовостройка48</v>
      </c>
      <c r="D53" s="46">
        <v>48</v>
      </c>
      <c r="E53" s="78"/>
      <c r="F53" s="78"/>
      <c r="G53" s="78"/>
      <c r="H53" s="78"/>
      <c r="I53" s="78"/>
      <c r="J53" s="78"/>
      <c r="K53" s="78"/>
      <c r="L53" s="78"/>
      <c r="M53" s="78"/>
      <c r="N53" s="48"/>
      <c r="O53" s="48"/>
      <c r="P53" s="48"/>
      <c r="Q53" s="48"/>
      <c r="R53" s="48"/>
      <c r="S53" s="48"/>
      <c r="T53" s="48"/>
      <c r="U53" s="48"/>
      <c r="V53" s="48"/>
      <c r="W53" s="48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</row>
    <row r="54" spans="1:54" s="43" customFormat="1" x14ac:dyDescent="0.25">
      <c r="A54" s="81" t="s">
        <v>3</v>
      </c>
      <c r="B54" s="43" t="s">
        <v>5</v>
      </c>
      <c r="C54" s="43" t="str">
        <f t="shared" si="1"/>
        <v>без отсрочкиНовостройка60</v>
      </c>
      <c r="D54" s="46">
        <v>60</v>
      </c>
      <c r="E54" s="78"/>
      <c r="F54" s="78"/>
      <c r="G54" s="78"/>
      <c r="H54" s="78"/>
      <c r="I54" s="78"/>
      <c r="J54" s="78"/>
      <c r="K54" s="78"/>
      <c r="L54" s="7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Y54" s="51"/>
      <c r="Z54" s="51"/>
      <c r="AA54" s="51"/>
      <c r="AB54" s="51"/>
      <c r="AC54" s="51"/>
      <c r="AD54" s="51"/>
      <c r="AE54" s="51"/>
      <c r="AF54" s="51"/>
      <c r="AG54" s="51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</row>
    <row r="55" spans="1:54" s="43" customFormat="1" x14ac:dyDescent="0.25">
      <c r="A55" s="81"/>
      <c r="D55" s="45">
        <v>1.06</v>
      </c>
      <c r="E55" s="18">
        <v>0.25</v>
      </c>
      <c r="F55" s="18">
        <v>0.75</v>
      </c>
      <c r="G55" s="18">
        <v>1</v>
      </c>
      <c r="H55" s="18">
        <v>1.25</v>
      </c>
      <c r="I55" s="18">
        <v>1.5</v>
      </c>
      <c r="J55" s="18">
        <v>1.7500000000000002</v>
      </c>
      <c r="K55" s="18">
        <v>2</v>
      </c>
      <c r="L55" s="18">
        <v>2.25</v>
      </c>
      <c r="M55" s="18">
        <v>2.5</v>
      </c>
      <c r="N55" s="18">
        <v>2.75</v>
      </c>
      <c r="O55" s="18">
        <v>3</v>
      </c>
      <c r="P55" s="18">
        <v>3.25</v>
      </c>
      <c r="Q55" s="18">
        <v>3.5000000000000004</v>
      </c>
      <c r="R55" s="18">
        <v>3.75</v>
      </c>
      <c r="S55" s="18">
        <v>4</v>
      </c>
      <c r="T55" s="18"/>
      <c r="U55" s="18"/>
      <c r="V55" s="18"/>
      <c r="W55" s="18"/>
      <c r="Y55" s="18">
        <v>0.25</v>
      </c>
      <c r="Z55" s="18">
        <v>0.5</v>
      </c>
      <c r="AA55" s="18">
        <v>0.75</v>
      </c>
      <c r="AB55" s="18">
        <v>1</v>
      </c>
      <c r="AC55" s="18">
        <v>1.25</v>
      </c>
      <c r="AD55" s="18">
        <v>1.5</v>
      </c>
      <c r="AE55" s="18">
        <v>1.7500000000000002</v>
      </c>
      <c r="AF55" s="18">
        <v>2</v>
      </c>
      <c r="AG55" s="18">
        <v>2.25</v>
      </c>
      <c r="AH55" s="18">
        <v>2.5</v>
      </c>
      <c r="AI55" s="18">
        <v>2.75</v>
      </c>
      <c r="AJ55" s="18">
        <v>3</v>
      </c>
      <c r="AK55" s="18">
        <v>3.25</v>
      </c>
      <c r="AL55" s="18">
        <v>3.5000000000000004</v>
      </c>
      <c r="AM55" s="18">
        <v>3.75</v>
      </c>
      <c r="AN55" s="18">
        <v>4</v>
      </c>
    </row>
    <row r="56" spans="1:54" s="43" customFormat="1" x14ac:dyDescent="0.25">
      <c r="A56" s="81">
        <v>6</v>
      </c>
      <c r="B56" s="43" t="s">
        <v>6</v>
      </c>
      <c r="C56" s="43" t="str">
        <f t="shared" si="1"/>
        <v>6Новостройка с господдержкой 20206</v>
      </c>
      <c r="D56" s="46">
        <v>6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16"/>
    </row>
    <row r="57" spans="1:54" s="43" customFormat="1" x14ac:dyDescent="0.25">
      <c r="A57" s="81">
        <v>6</v>
      </c>
      <c r="B57" s="43" t="s">
        <v>6</v>
      </c>
      <c r="C57" s="43" t="str">
        <f t="shared" si="1"/>
        <v>6Новостройка с господдержкой 202012</v>
      </c>
      <c r="D57" s="46">
        <v>12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16"/>
    </row>
    <row r="58" spans="1:54" s="43" customFormat="1" x14ac:dyDescent="0.25">
      <c r="A58" s="81">
        <v>6</v>
      </c>
      <c r="B58" s="43" t="s">
        <v>6</v>
      </c>
      <c r="C58" s="43" t="str">
        <f t="shared" si="1"/>
        <v>6Новостройка с господдержкой 202024</v>
      </c>
      <c r="D58" s="46">
        <v>24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16"/>
    </row>
    <row r="59" spans="1:54" s="43" customFormat="1" x14ac:dyDescent="0.25">
      <c r="A59" s="81">
        <v>6</v>
      </c>
      <c r="B59" s="43" t="s">
        <v>6</v>
      </c>
      <c r="C59" s="43" t="str">
        <f t="shared" si="1"/>
        <v>6Новостройка с господдержкой 202036</v>
      </c>
      <c r="D59" s="46">
        <v>36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16"/>
    </row>
    <row r="60" spans="1:54" s="43" customFormat="1" x14ac:dyDescent="0.25">
      <c r="A60" s="81">
        <v>6</v>
      </c>
      <c r="B60" s="43" t="s">
        <v>6</v>
      </c>
      <c r="C60" s="43" t="str">
        <f t="shared" si="1"/>
        <v>6Новостройка с господдержкой 202048</v>
      </c>
      <c r="D60" s="46">
        <v>48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17"/>
      <c r="T60" s="17"/>
      <c r="U60" s="17"/>
      <c r="V60" s="17"/>
      <c r="W60" s="1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16"/>
    </row>
    <row r="61" spans="1:54" s="43" customFormat="1" x14ac:dyDescent="0.25">
      <c r="A61" s="81">
        <v>6</v>
      </c>
      <c r="B61" s="43" t="s">
        <v>6</v>
      </c>
      <c r="C61" s="43" t="str">
        <f t="shared" si="1"/>
        <v>6Новостройка с господдержкой 202060</v>
      </c>
      <c r="D61" s="46">
        <v>60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17"/>
      <c r="T61" s="17"/>
      <c r="U61" s="17"/>
      <c r="V61" s="17"/>
      <c r="W61" s="1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16"/>
    </row>
    <row r="62" spans="1:54" s="43" customFormat="1" x14ac:dyDescent="0.25">
      <c r="A62" s="81">
        <v>6</v>
      </c>
      <c r="B62" s="43" t="s">
        <v>10</v>
      </c>
      <c r="C62" s="43" t="str">
        <f t="shared" si="1"/>
        <v>6Семейная ипотека6</v>
      </c>
      <c r="D62" s="46">
        <v>6</v>
      </c>
      <c r="E62" s="78"/>
      <c r="F62" s="78"/>
      <c r="G62" s="78"/>
      <c r="H62" s="78"/>
      <c r="I62" s="78"/>
      <c r="J62" s="78"/>
      <c r="K62" s="78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Y62" s="51"/>
      <c r="Z62" s="51"/>
      <c r="AA62" s="51"/>
      <c r="AB62" s="51"/>
      <c r="AC62" s="51"/>
      <c r="AD62" s="51"/>
      <c r="AE62" s="51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54" s="43" customFormat="1" x14ac:dyDescent="0.25">
      <c r="A63" s="81">
        <v>6</v>
      </c>
      <c r="B63" s="43" t="s">
        <v>10</v>
      </c>
      <c r="C63" s="43" t="str">
        <f t="shared" si="1"/>
        <v>6Семейная ипотека12</v>
      </c>
      <c r="D63" s="46">
        <v>12</v>
      </c>
      <c r="E63" s="78"/>
      <c r="F63" s="78"/>
      <c r="G63" s="78"/>
      <c r="H63" s="78"/>
      <c r="I63" s="78"/>
      <c r="J63" s="78"/>
      <c r="K63" s="78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Y63" s="51"/>
      <c r="Z63" s="51"/>
      <c r="AA63" s="51"/>
      <c r="AB63" s="51"/>
      <c r="AC63" s="51"/>
      <c r="AD63" s="51"/>
      <c r="AE63" s="51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54" s="43" customFormat="1" x14ac:dyDescent="0.25">
      <c r="A64" s="81">
        <v>6</v>
      </c>
      <c r="B64" s="43" t="s">
        <v>10</v>
      </c>
      <c r="C64" s="43" t="str">
        <f t="shared" si="1"/>
        <v>6Семейная ипотека24</v>
      </c>
      <c r="D64" s="46">
        <v>24</v>
      </c>
      <c r="E64" s="78"/>
      <c r="F64" s="78"/>
      <c r="G64" s="78"/>
      <c r="H64" s="78"/>
      <c r="I64" s="78"/>
      <c r="J64" s="78"/>
      <c r="K64" s="78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Y64" s="51"/>
      <c r="Z64" s="51"/>
      <c r="AA64" s="51"/>
      <c r="AB64" s="51"/>
      <c r="AC64" s="51"/>
      <c r="AD64" s="51"/>
      <c r="AE64" s="51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54" s="43" customFormat="1" x14ac:dyDescent="0.25">
      <c r="A65" s="81">
        <v>6</v>
      </c>
      <c r="B65" s="43" t="s">
        <v>10</v>
      </c>
      <c r="C65" s="43" t="str">
        <f t="shared" si="1"/>
        <v>6Семейная ипотека36</v>
      </c>
      <c r="D65" s="46">
        <v>36</v>
      </c>
      <c r="E65" s="78"/>
      <c r="F65" s="78"/>
      <c r="G65" s="78"/>
      <c r="H65" s="78"/>
      <c r="I65" s="78"/>
      <c r="J65" s="78"/>
      <c r="K65" s="78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Y65" s="51"/>
      <c r="Z65" s="51"/>
      <c r="AA65" s="51"/>
      <c r="AB65" s="51"/>
      <c r="AC65" s="51"/>
      <c r="AD65" s="51"/>
      <c r="AE65" s="51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54" s="43" customFormat="1" x14ac:dyDescent="0.25">
      <c r="A66" s="81">
        <v>6</v>
      </c>
      <c r="B66" s="43" t="s">
        <v>10</v>
      </c>
      <c r="C66" s="43" t="str">
        <f t="shared" si="1"/>
        <v>6Семейная ипотека48</v>
      </c>
      <c r="D66" s="46">
        <v>48</v>
      </c>
      <c r="E66" s="78"/>
      <c r="F66" s="78"/>
      <c r="G66" s="78"/>
      <c r="H66" s="78"/>
      <c r="I66" s="78"/>
      <c r="J66" s="78"/>
      <c r="K66" s="78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Y66" s="51"/>
      <c r="Z66" s="51"/>
      <c r="AA66" s="51"/>
      <c r="AB66" s="51"/>
      <c r="AC66" s="51"/>
      <c r="AD66" s="51"/>
      <c r="AE66" s="51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54" s="43" customFormat="1" x14ac:dyDescent="0.25">
      <c r="A67" s="81">
        <v>6</v>
      </c>
      <c r="B67" s="43" t="s">
        <v>10</v>
      </c>
      <c r="C67" s="43" t="str">
        <f t="shared" si="1"/>
        <v>6Семейная ипотека60</v>
      </c>
      <c r="D67" s="46">
        <v>60</v>
      </c>
      <c r="E67" s="78"/>
      <c r="F67" s="78"/>
      <c r="G67" s="78"/>
      <c r="H67" s="78"/>
      <c r="I67" s="78"/>
      <c r="J67" s="78"/>
      <c r="K67" s="78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Y67" s="51"/>
      <c r="Z67" s="51"/>
      <c r="AA67" s="51"/>
      <c r="AB67" s="51"/>
      <c r="AC67" s="51"/>
      <c r="AD67" s="51"/>
      <c r="AE67" s="51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54" s="43" customFormat="1" x14ac:dyDescent="0.25">
      <c r="A68" s="81">
        <v>6</v>
      </c>
      <c r="B68" s="43" t="s">
        <v>47</v>
      </c>
      <c r="C68" s="43" t="str">
        <f t="shared" si="1"/>
        <v>6Семейная ипотека ДФО6</v>
      </c>
      <c r="D68" s="46">
        <v>6</v>
      </c>
      <c r="E68" s="78"/>
      <c r="F68" s="78"/>
      <c r="G68" s="78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Y68" s="51"/>
      <c r="Z68" s="51"/>
      <c r="AA68" s="51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54" s="43" customFormat="1" x14ac:dyDescent="0.25">
      <c r="A69" s="81">
        <v>6</v>
      </c>
      <c r="B69" s="43" t="s">
        <v>47</v>
      </c>
      <c r="C69" s="43" t="str">
        <f t="shared" si="1"/>
        <v>6Семейная ипотека ДФО12</v>
      </c>
      <c r="D69" s="46">
        <v>12</v>
      </c>
      <c r="E69" s="78"/>
      <c r="F69" s="78"/>
      <c r="G69" s="7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Y69" s="51"/>
      <c r="Z69" s="51"/>
      <c r="AA69" s="51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54" s="43" customFormat="1" x14ac:dyDescent="0.25">
      <c r="A70" s="81">
        <v>6</v>
      </c>
      <c r="B70" s="43" t="s">
        <v>47</v>
      </c>
      <c r="C70" s="43" t="str">
        <f t="shared" si="1"/>
        <v>6Семейная ипотека ДФО24</v>
      </c>
      <c r="D70" s="46">
        <v>24</v>
      </c>
      <c r="E70" s="78"/>
      <c r="F70" s="78"/>
      <c r="G70" s="78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Y70" s="51"/>
      <c r="Z70" s="51"/>
      <c r="AA70" s="51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54" s="43" customFormat="1" x14ac:dyDescent="0.25">
      <c r="A71" s="81">
        <v>6</v>
      </c>
      <c r="B71" s="43" t="s">
        <v>47</v>
      </c>
      <c r="C71" s="43" t="str">
        <f t="shared" si="1"/>
        <v>6Семейная ипотека ДФО36</v>
      </c>
      <c r="D71" s="46">
        <v>36</v>
      </c>
      <c r="E71" s="78"/>
      <c r="F71" s="78"/>
      <c r="G71" s="78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Y71" s="51"/>
      <c r="Z71" s="51"/>
      <c r="AA71" s="51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54" s="43" customFormat="1" x14ac:dyDescent="0.25">
      <c r="A72" s="81">
        <v>6</v>
      </c>
      <c r="B72" s="43" t="s">
        <v>47</v>
      </c>
      <c r="C72" s="43" t="str">
        <f t="shared" si="1"/>
        <v>6Семейная ипотека ДФО48</v>
      </c>
      <c r="D72" s="46">
        <v>48</v>
      </c>
      <c r="E72" s="78"/>
      <c r="F72" s="78"/>
      <c r="G72" s="78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Y72" s="51"/>
      <c r="Z72" s="51"/>
      <c r="AA72" s="51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54" s="43" customFormat="1" x14ac:dyDescent="0.25">
      <c r="A73" s="81">
        <v>6</v>
      </c>
      <c r="B73" s="43" t="s">
        <v>47</v>
      </c>
      <c r="C73" s="43" t="str">
        <f t="shared" si="1"/>
        <v>6Семейная ипотека ДФО60</v>
      </c>
      <c r="D73" s="46">
        <v>60</v>
      </c>
      <c r="E73" s="78"/>
      <c r="F73" s="78"/>
      <c r="G73" s="78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Y73" s="51"/>
      <c r="Z73" s="51"/>
      <c r="AA73" s="51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54" s="43" customFormat="1" x14ac:dyDescent="0.25">
      <c r="A74" s="81">
        <v>6</v>
      </c>
      <c r="B74" s="43" t="s">
        <v>38</v>
      </c>
      <c r="C74" s="43" t="str">
        <f t="shared" si="1"/>
        <v>6Ипотека для IT-специалистов6</v>
      </c>
      <c r="D74" s="46">
        <v>6</v>
      </c>
      <c r="E74" s="78"/>
      <c r="F74" s="78"/>
      <c r="G74" s="78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Y74" s="51"/>
      <c r="Z74" s="51"/>
      <c r="AA74" s="51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54" s="43" customFormat="1" x14ac:dyDescent="0.25">
      <c r="A75" s="81">
        <v>6</v>
      </c>
      <c r="B75" s="43" t="s">
        <v>38</v>
      </c>
      <c r="C75" s="43" t="str">
        <f t="shared" si="1"/>
        <v>6Ипотека для IT-специалистов12</v>
      </c>
      <c r="D75" s="46">
        <v>12</v>
      </c>
      <c r="E75" s="78"/>
      <c r="F75" s="78"/>
      <c r="G75" s="78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Y75" s="51"/>
      <c r="Z75" s="51"/>
      <c r="AA75" s="51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54" s="43" customFormat="1" x14ac:dyDescent="0.25">
      <c r="A76" s="81">
        <v>6</v>
      </c>
      <c r="B76" s="43" t="s">
        <v>38</v>
      </c>
      <c r="C76" s="43" t="str">
        <f t="shared" si="1"/>
        <v>6Ипотека для IT-специалистов24</v>
      </c>
      <c r="D76" s="46">
        <v>24</v>
      </c>
      <c r="E76" s="78"/>
      <c r="F76" s="78"/>
      <c r="G76" s="78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Y76" s="51"/>
      <c r="Z76" s="51"/>
      <c r="AA76" s="51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54" s="43" customFormat="1" x14ac:dyDescent="0.25">
      <c r="A77" s="81">
        <v>6</v>
      </c>
      <c r="B77" s="43" t="s">
        <v>38</v>
      </c>
      <c r="C77" s="43" t="str">
        <f t="shared" si="1"/>
        <v>6Ипотека для IT-специалистов36</v>
      </c>
      <c r="D77" s="46">
        <v>36</v>
      </c>
      <c r="E77" s="78"/>
      <c r="F77" s="78"/>
      <c r="G77" s="78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Y77" s="51"/>
      <c r="Z77" s="51"/>
      <c r="AA77" s="51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54" s="43" customFormat="1" x14ac:dyDescent="0.25">
      <c r="A78" s="81">
        <v>6</v>
      </c>
      <c r="B78" s="43" t="s">
        <v>38</v>
      </c>
      <c r="C78" s="43" t="str">
        <f t="shared" si="1"/>
        <v>6Ипотека для IT-специалистов48</v>
      </c>
      <c r="D78" s="46">
        <v>48</v>
      </c>
      <c r="E78" s="78"/>
      <c r="F78" s="78"/>
      <c r="G78" s="78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Y78" s="51"/>
      <c r="Z78" s="51"/>
      <c r="AA78" s="51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54" s="43" customFormat="1" x14ac:dyDescent="0.25">
      <c r="A79" s="81">
        <v>6</v>
      </c>
      <c r="B79" s="43" t="s">
        <v>38</v>
      </c>
      <c r="C79" s="43" t="str">
        <f t="shared" si="1"/>
        <v>6Ипотека для IT-специалистов60</v>
      </c>
      <c r="D79" s="46">
        <v>60</v>
      </c>
      <c r="E79" s="78"/>
      <c r="F79" s="78"/>
      <c r="G79" s="78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Y79" s="51"/>
      <c r="Z79" s="51"/>
      <c r="AA79" s="51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54" s="43" customFormat="1" x14ac:dyDescent="0.25">
      <c r="A80" s="81"/>
      <c r="D80" s="45">
        <v>1.06</v>
      </c>
      <c r="E80" s="47">
        <v>0.5</v>
      </c>
      <c r="F80" s="47">
        <v>1.5</v>
      </c>
      <c r="G80" s="47">
        <v>2</v>
      </c>
      <c r="H80" s="47">
        <v>2.5</v>
      </c>
      <c r="I80" s="47">
        <v>3</v>
      </c>
      <c r="J80" s="47">
        <v>3.5</v>
      </c>
      <c r="K80" s="47">
        <v>4</v>
      </c>
      <c r="L80" s="47">
        <v>4.5</v>
      </c>
      <c r="M80" s="47">
        <v>5</v>
      </c>
      <c r="N80" s="47">
        <v>5.5</v>
      </c>
      <c r="O80" s="47">
        <v>6</v>
      </c>
      <c r="P80" s="47">
        <v>6.5</v>
      </c>
      <c r="Q80" s="47">
        <v>7</v>
      </c>
      <c r="R80" s="47">
        <v>7.5</v>
      </c>
      <c r="S80" s="47">
        <v>8</v>
      </c>
      <c r="T80" s="47">
        <v>8.5</v>
      </c>
      <c r="U80" s="47">
        <v>9</v>
      </c>
      <c r="V80" s="47">
        <v>9.5</v>
      </c>
      <c r="W80" s="47">
        <v>10</v>
      </c>
      <c r="Y80" s="47">
        <v>0.5</v>
      </c>
      <c r="Z80" s="47">
        <v>1</v>
      </c>
      <c r="AA80" s="47">
        <v>1.5</v>
      </c>
      <c r="AB80" s="47">
        <v>2</v>
      </c>
      <c r="AC80" s="47">
        <v>2.5</v>
      </c>
      <c r="AD80" s="47">
        <v>3</v>
      </c>
      <c r="AE80" s="47">
        <v>3.5</v>
      </c>
      <c r="AF80" s="47">
        <v>4</v>
      </c>
      <c r="AG80" s="47">
        <v>4.5</v>
      </c>
      <c r="AH80" s="47">
        <v>5</v>
      </c>
      <c r="AI80" s="47">
        <v>5.5</v>
      </c>
      <c r="AJ80" s="47">
        <v>6</v>
      </c>
      <c r="AK80" s="47">
        <v>6.5</v>
      </c>
      <c r="AL80" s="47">
        <v>7</v>
      </c>
      <c r="AM80" s="47">
        <v>7.5</v>
      </c>
      <c r="AN80" s="47">
        <v>8</v>
      </c>
      <c r="AO80" s="47">
        <v>8.5</v>
      </c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</row>
    <row r="81" spans="1:54" s="43" customFormat="1" x14ac:dyDescent="0.25">
      <c r="A81" s="81">
        <v>6</v>
      </c>
      <c r="B81" s="43" t="s">
        <v>5</v>
      </c>
      <c r="C81" s="43" t="str">
        <f t="shared" si="1"/>
        <v>6Новостройка6</v>
      </c>
      <c r="D81" s="46">
        <v>6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</row>
    <row r="82" spans="1:54" s="43" customFormat="1" x14ac:dyDescent="0.25">
      <c r="A82" s="81">
        <v>6</v>
      </c>
      <c r="B82" s="43" t="s">
        <v>5</v>
      </c>
      <c r="C82" s="43" t="str">
        <f t="shared" si="1"/>
        <v>6Новостройка12</v>
      </c>
      <c r="D82" s="46">
        <v>12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</row>
    <row r="83" spans="1:54" s="43" customFormat="1" x14ac:dyDescent="0.25">
      <c r="A83" s="81">
        <v>6</v>
      </c>
      <c r="B83" s="43" t="s">
        <v>5</v>
      </c>
      <c r="C83" s="43" t="str">
        <f t="shared" si="1"/>
        <v>6Новостройка24</v>
      </c>
      <c r="D83" s="46">
        <v>24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49"/>
      <c r="Q83" s="49"/>
      <c r="R83" s="49"/>
      <c r="S83" s="49"/>
      <c r="T83" s="49"/>
      <c r="U83" s="49"/>
      <c r="V83" s="49"/>
      <c r="W83" s="49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</row>
    <row r="84" spans="1:54" s="43" customFormat="1" x14ac:dyDescent="0.25">
      <c r="A84" s="81">
        <v>6</v>
      </c>
      <c r="B84" s="43" t="s">
        <v>5</v>
      </c>
      <c r="C84" s="43" t="str">
        <f t="shared" si="1"/>
        <v>6Новостройка36</v>
      </c>
      <c r="D84" s="46">
        <v>36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51"/>
      <c r="P84" s="49"/>
      <c r="Q84" s="49"/>
      <c r="R84" s="49"/>
      <c r="S84" s="49"/>
      <c r="T84" s="49"/>
      <c r="U84" s="49"/>
      <c r="V84" s="49"/>
      <c r="W84" s="49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</row>
    <row r="85" spans="1:54" s="43" customFormat="1" x14ac:dyDescent="0.25">
      <c r="A85" s="81">
        <v>6</v>
      </c>
      <c r="B85" s="43" t="s">
        <v>5</v>
      </c>
      <c r="C85" s="43" t="str">
        <f t="shared" si="1"/>
        <v>6Новостройка48</v>
      </c>
      <c r="D85" s="46">
        <v>48</v>
      </c>
      <c r="E85" s="78"/>
      <c r="F85" s="78"/>
      <c r="G85" s="78"/>
      <c r="H85" s="78"/>
      <c r="I85" s="78"/>
      <c r="J85" s="78"/>
      <c r="K85" s="78"/>
      <c r="L85" s="78"/>
      <c r="M85" s="78"/>
      <c r="N85" s="49"/>
      <c r="O85" s="49"/>
      <c r="P85" s="49"/>
      <c r="Q85" s="49"/>
      <c r="R85" s="49"/>
      <c r="S85" s="49"/>
      <c r="T85" s="49"/>
      <c r="U85" s="49"/>
      <c r="V85" s="49"/>
      <c r="W85" s="49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</row>
    <row r="86" spans="1:54" s="43" customFormat="1" x14ac:dyDescent="0.25">
      <c r="A86" s="81">
        <v>6</v>
      </c>
      <c r="B86" s="43" t="s">
        <v>5</v>
      </c>
      <c r="C86" s="43" t="str">
        <f t="shared" si="1"/>
        <v>6Новостройка60</v>
      </c>
      <c r="D86" s="46">
        <v>60</v>
      </c>
      <c r="E86" s="78"/>
      <c r="F86" s="78"/>
      <c r="G86" s="78"/>
      <c r="H86" s="78"/>
      <c r="I86" s="78"/>
      <c r="J86" s="78"/>
      <c r="K86" s="78"/>
      <c r="L86" s="78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Y86" s="51"/>
      <c r="Z86" s="51"/>
      <c r="AA86" s="51"/>
      <c r="AB86" s="51"/>
      <c r="AC86" s="51"/>
      <c r="AD86" s="51"/>
      <c r="AE86" s="51"/>
      <c r="AF86" s="51"/>
      <c r="AG86" s="51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</row>
    <row r="87" spans="1:54" s="43" customFormat="1" x14ac:dyDescent="0.25">
      <c r="A87" s="81"/>
      <c r="D87" s="45">
        <v>1.1200000000000001</v>
      </c>
      <c r="E87" s="18">
        <v>0.25</v>
      </c>
      <c r="F87" s="18">
        <v>0.75</v>
      </c>
      <c r="G87" s="18">
        <v>1</v>
      </c>
      <c r="H87" s="18">
        <v>1.25</v>
      </c>
      <c r="I87" s="18">
        <v>1.5</v>
      </c>
      <c r="J87" s="18">
        <v>1.7500000000000002</v>
      </c>
      <c r="K87" s="18">
        <v>2</v>
      </c>
      <c r="L87" s="18">
        <v>2.25</v>
      </c>
      <c r="M87" s="18">
        <v>2.5</v>
      </c>
      <c r="N87" s="18">
        <v>2.75</v>
      </c>
      <c r="O87" s="18">
        <v>3</v>
      </c>
      <c r="P87" s="18">
        <v>3.25</v>
      </c>
      <c r="Q87" s="18">
        <v>3.5000000000000004</v>
      </c>
      <c r="R87" s="18">
        <v>3.75</v>
      </c>
      <c r="S87" s="18">
        <v>4</v>
      </c>
      <c r="Y87" s="18">
        <v>0.25</v>
      </c>
      <c r="Z87" s="18">
        <v>0.5</v>
      </c>
      <c r="AA87" s="18">
        <v>0.75</v>
      </c>
      <c r="AB87" s="18">
        <v>1</v>
      </c>
      <c r="AC87" s="18">
        <v>1.25</v>
      </c>
      <c r="AD87" s="18">
        <v>1.5</v>
      </c>
      <c r="AE87" s="18">
        <v>1.7500000000000002</v>
      </c>
      <c r="AF87" s="18">
        <v>2</v>
      </c>
      <c r="AG87" s="18">
        <v>2.25</v>
      </c>
      <c r="AH87" s="18">
        <v>2.5</v>
      </c>
      <c r="AI87" s="18">
        <v>2.75</v>
      </c>
      <c r="AJ87" s="18">
        <v>3</v>
      </c>
      <c r="AK87" s="18">
        <v>3.25</v>
      </c>
      <c r="AL87" s="18">
        <v>3.5000000000000004</v>
      </c>
      <c r="AM87" s="18">
        <v>3.75</v>
      </c>
      <c r="AN87" s="18">
        <v>4</v>
      </c>
    </row>
    <row r="88" spans="1:54" s="43" customFormat="1" x14ac:dyDescent="0.25">
      <c r="A88" s="81">
        <v>12</v>
      </c>
      <c r="B88" s="43" t="s">
        <v>6</v>
      </c>
      <c r="C88" s="43" t="str">
        <f t="shared" ref="C88:C149" si="2">CONCATENATE(A88,B88,D88)</f>
        <v>12Новостройка с господдержкой 20206</v>
      </c>
      <c r="D88" s="46">
        <v>6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24"/>
      <c r="U88" s="24"/>
      <c r="V88" s="24"/>
      <c r="W88" s="24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16"/>
    </row>
    <row r="89" spans="1:54" s="43" customFormat="1" x14ac:dyDescent="0.25">
      <c r="A89" s="81">
        <v>12</v>
      </c>
      <c r="B89" s="43" t="s">
        <v>6</v>
      </c>
      <c r="C89" s="43" t="str">
        <f t="shared" si="2"/>
        <v>12Новостройка с господдержкой 202012</v>
      </c>
      <c r="D89" s="46">
        <v>12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24"/>
      <c r="U89" s="24"/>
      <c r="V89" s="24"/>
      <c r="W89" s="24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16"/>
    </row>
    <row r="90" spans="1:54" s="43" customFormat="1" x14ac:dyDescent="0.25">
      <c r="A90" s="81">
        <v>12</v>
      </c>
      <c r="B90" s="43" t="s">
        <v>6</v>
      </c>
      <c r="C90" s="43" t="str">
        <f t="shared" si="2"/>
        <v>12Новостройка с господдержкой 202024</v>
      </c>
      <c r="D90" s="46">
        <v>24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24"/>
      <c r="U90" s="24"/>
      <c r="V90" s="24"/>
      <c r="W90" s="24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16"/>
    </row>
    <row r="91" spans="1:54" s="43" customFormat="1" x14ac:dyDescent="0.25">
      <c r="A91" s="81">
        <v>12</v>
      </c>
      <c r="B91" s="43" t="s">
        <v>6</v>
      </c>
      <c r="C91" s="43" t="str">
        <f t="shared" si="2"/>
        <v>12Новостройка с господдержкой 202036</v>
      </c>
      <c r="D91" s="46">
        <v>36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24"/>
      <c r="U91" s="24"/>
      <c r="V91" s="24"/>
      <c r="W91" s="24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16"/>
    </row>
    <row r="92" spans="1:54" s="43" customFormat="1" x14ac:dyDescent="0.25">
      <c r="A92" s="81">
        <v>12</v>
      </c>
      <c r="B92" s="43" t="s">
        <v>6</v>
      </c>
      <c r="C92" s="43" t="str">
        <f t="shared" si="2"/>
        <v>12Новостройка с господдержкой 202048</v>
      </c>
      <c r="D92" s="46">
        <v>48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17"/>
      <c r="T92" s="24"/>
      <c r="U92" s="24"/>
      <c r="V92" s="24"/>
      <c r="W92" s="24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16"/>
    </row>
    <row r="93" spans="1:54" s="43" customFormat="1" x14ac:dyDescent="0.25">
      <c r="A93" s="81">
        <v>12</v>
      </c>
      <c r="B93" s="43" t="s">
        <v>6</v>
      </c>
      <c r="C93" s="43" t="str">
        <f t="shared" si="2"/>
        <v>12Новостройка с господдержкой 202060</v>
      </c>
      <c r="D93" s="46">
        <v>60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17"/>
      <c r="T93" s="24"/>
      <c r="U93" s="24"/>
      <c r="V93" s="24"/>
      <c r="W93" s="24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16"/>
    </row>
    <row r="94" spans="1:54" s="43" customFormat="1" x14ac:dyDescent="0.25">
      <c r="A94" s="81">
        <v>12</v>
      </c>
      <c r="B94" s="43" t="s">
        <v>10</v>
      </c>
      <c r="C94" s="43" t="str">
        <f t="shared" si="2"/>
        <v>12Семейная ипотека6</v>
      </c>
      <c r="D94" s="46">
        <v>6</v>
      </c>
      <c r="E94" s="78"/>
      <c r="F94" s="78"/>
      <c r="G94" s="78"/>
      <c r="H94" s="78"/>
      <c r="I94" s="78"/>
      <c r="J94" s="78"/>
      <c r="K94" s="78"/>
      <c r="L94" s="17"/>
      <c r="M94" s="17"/>
      <c r="N94" s="17"/>
      <c r="O94" s="17"/>
      <c r="P94" s="17"/>
      <c r="Q94" s="17"/>
      <c r="R94" s="17"/>
      <c r="S94" s="17"/>
      <c r="T94" s="24"/>
      <c r="U94" s="24"/>
      <c r="V94" s="24"/>
      <c r="W94" s="24"/>
      <c r="Y94" s="51"/>
      <c r="Z94" s="51"/>
      <c r="AA94" s="51"/>
      <c r="AB94" s="51"/>
      <c r="AC94" s="51"/>
      <c r="AD94" s="51"/>
      <c r="AE94" s="51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54" s="43" customFormat="1" x14ac:dyDescent="0.25">
      <c r="A95" s="81">
        <v>12</v>
      </c>
      <c r="B95" s="43" t="s">
        <v>10</v>
      </c>
      <c r="C95" s="43" t="str">
        <f t="shared" si="2"/>
        <v>12Семейная ипотека12</v>
      </c>
      <c r="D95" s="46">
        <v>12</v>
      </c>
      <c r="E95" s="78"/>
      <c r="F95" s="78"/>
      <c r="G95" s="78"/>
      <c r="H95" s="78"/>
      <c r="I95" s="78"/>
      <c r="J95" s="78"/>
      <c r="K95" s="78"/>
      <c r="L95" s="17"/>
      <c r="M95" s="17"/>
      <c r="N95" s="17"/>
      <c r="O95" s="17"/>
      <c r="P95" s="17"/>
      <c r="Q95" s="17"/>
      <c r="R95" s="17"/>
      <c r="S95" s="17"/>
      <c r="T95" s="24"/>
      <c r="U95" s="24"/>
      <c r="V95" s="24"/>
      <c r="W95" s="24"/>
      <c r="Y95" s="51"/>
      <c r="Z95" s="51"/>
      <c r="AA95" s="51"/>
      <c r="AB95" s="51"/>
      <c r="AC95" s="51"/>
      <c r="AD95" s="51"/>
      <c r="AE95" s="51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54" s="43" customFormat="1" x14ac:dyDescent="0.25">
      <c r="A96" s="81">
        <v>12</v>
      </c>
      <c r="B96" s="43" t="s">
        <v>10</v>
      </c>
      <c r="C96" s="43" t="str">
        <f t="shared" si="2"/>
        <v>12Семейная ипотека24</v>
      </c>
      <c r="D96" s="46">
        <v>24</v>
      </c>
      <c r="E96" s="78"/>
      <c r="F96" s="78"/>
      <c r="G96" s="78"/>
      <c r="H96" s="78"/>
      <c r="I96" s="78"/>
      <c r="J96" s="78"/>
      <c r="K96" s="78"/>
      <c r="L96" s="17"/>
      <c r="M96" s="17"/>
      <c r="N96" s="17"/>
      <c r="O96" s="17"/>
      <c r="P96" s="17"/>
      <c r="Q96" s="17"/>
      <c r="R96" s="17"/>
      <c r="S96" s="17"/>
      <c r="T96" s="24"/>
      <c r="U96" s="24"/>
      <c r="V96" s="24"/>
      <c r="W96" s="24"/>
      <c r="Y96" s="51"/>
      <c r="Z96" s="51"/>
      <c r="AA96" s="51"/>
      <c r="AB96" s="51"/>
      <c r="AC96" s="51"/>
      <c r="AD96" s="51"/>
      <c r="AE96" s="51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54" s="43" customFormat="1" x14ac:dyDescent="0.25">
      <c r="A97" s="81">
        <v>12</v>
      </c>
      <c r="B97" s="43" t="s">
        <v>10</v>
      </c>
      <c r="C97" s="43" t="str">
        <f t="shared" si="2"/>
        <v>12Семейная ипотека36</v>
      </c>
      <c r="D97" s="46">
        <v>36</v>
      </c>
      <c r="E97" s="78"/>
      <c r="F97" s="78"/>
      <c r="G97" s="78"/>
      <c r="H97" s="78"/>
      <c r="I97" s="78"/>
      <c r="J97" s="78"/>
      <c r="K97" s="78"/>
      <c r="L97" s="17"/>
      <c r="M97" s="17"/>
      <c r="N97" s="17"/>
      <c r="O97" s="17"/>
      <c r="P97" s="17"/>
      <c r="Q97" s="17"/>
      <c r="R97" s="17"/>
      <c r="S97" s="17"/>
      <c r="T97" s="24"/>
      <c r="U97" s="24"/>
      <c r="V97" s="24"/>
      <c r="W97" s="24"/>
      <c r="Y97" s="51"/>
      <c r="Z97" s="51"/>
      <c r="AA97" s="51"/>
      <c r="AB97" s="51"/>
      <c r="AC97" s="51"/>
      <c r="AD97" s="51"/>
      <c r="AE97" s="51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54" s="43" customFormat="1" x14ac:dyDescent="0.25">
      <c r="A98" s="81">
        <v>12</v>
      </c>
      <c r="B98" s="43" t="s">
        <v>10</v>
      </c>
      <c r="C98" s="43" t="str">
        <f t="shared" si="2"/>
        <v>12Семейная ипотека48</v>
      </c>
      <c r="D98" s="46">
        <v>48</v>
      </c>
      <c r="E98" s="78"/>
      <c r="F98" s="78"/>
      <c r="G98" s="78"/>
      <c r="H98" s="78"/>
      <c r="I98" s="78"/>
      <c r="J98" s="78"/>
      <c r="K98" s="78"/>
      <c r="L98" s="17"/>
      <c r="M98" s="17"/>
      <c r="N98" s="17"/>
      <c r="O98" s="17"/>
      <c r="P98" s="17"/>
      <c r="Q98" s="17"/>
      <c r="R98" s="17"/>
      <c r="S98" s="17"/>
      <c r="T98" s="24"/>
      <c r="U98" s="24"/>
      <c r="V98" s="24"/>
      <c r="W98" s="24"/>
      <c r="Y98" s="51"/>
      <c r="Z98" s="51"/>
      <c r="AA98" s="51"/>
      <c r="AB98" s="51"/>
      <c r="AC98" s="51"/>
      <c r="AD98" s="51"/>
      <c r="AE98" s="51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54" s="43" customFormat="1" x14ac:dyDescent="0.25">
      <c r="A99" s="81">
        <v>12</v>
      </c>
      <c r="B99" s="43" t="s">
        <v>10</v>
      </c>
      <c r="C99" s="43" t="str">
        <f t="shared" si="2"/>
        <v>12Семейная ипотека60</v>
      </c>
      <c r="D99" s="46">
        <v>60</v>
      </c>
      <c r="E99" s="78"/>
      <c r="F99" s="78"/>
      <c r="G99" s="78"/>
      <c r="H99" s="78"/>
      <c r="I99" s="78"/>
      <c r="J99" s="78"/>
      <c r="K99" s="78"/>
      <c r="L99" s="17"/>
      <c r="M99" s="17"/>
      <c r="N99" s="17"/>
      <c r="O99" s="17"/>
      <c r="P99" s="17"/>
      <c r="Q99" s="17"/>
      <c r="R99" s="17"/>
      <c r="S99" s="17"/>
      <c r="T99" s="24"/>
      <c r="U99" s="24"/>
      <c r="V99" s="24"/>
      <c r="W99" s="24"/>
      <c r="Y99" s="51"/>
      <c r="Z99" s="51"/>
      <c r="AA99" s="51"/>
      <c r="AB99" s="51"/>
      <c r="AC99" s="51"/>
      <c r="AD99" s="51"/>
      <c r="AE99" s="51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54" s="43" customFormat="1" x14ac:dyDescent="0.25">
      <c r="A100" s="81">
        <v>12</v>
      </c>
      <c r="B100" s="43" t="s">
        <v>47</v>
      </c>
      <c r="C100" s="43" t="str">
        <f t="shared" si="2"/>
        <v>12Семейная ипотека ДФО6</v>
      </c>
      <c r="D100" s="46">
        <v>6</v>
      </c>
      <c r="E100" s="78"/>
      <c r="F100" s="78"/>
      <c r="G100" s="78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24"/>
      <c r="U100" s="24"/>
      <c r="V100" s="24"/>
      <c r="W100" s="24"/>
      <c r="Y100" s="51"/>
      <c r="Z100" s="51"/>
      <c r="AA100" s="51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54" s="43" customFormat="1" x14ac:dyDescent="0.25">
      <c r="A101" s="81">
        <v>12</v>
      </c>
      <c r="B101" s="43" t="s">
        <v>47</v>
      </c>
      <c r="C101" s="43" t="str">
        <f t="shared" si="2"/>
        <v>12Семейная ипотека ДФО12</v>
      </c>
      <c r="D101" s="46">
        <v>12</v>
      </c>
      <c r="E101" s="78"/>
      <c r="F101" s="78"/>
      <c r="G101" s="78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24"/>
      <c r="U101" s="24"/>
      <c r="V101" s="24"/>
      <c r="W101" s="24"/>
      <c r="Y101" s="51"/>
      <c r="Z101" s="51"/>
      <c r="AA101" s="51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54" s="43" customFormat="1" x14ac:dyDescent="0.25">
      <c r="A102" s="81">
        <v>12</v>
      </c>
      <c r="B102" s="43" t="s">
        <v>47</v>
      </c>
      <c r="C102" s="43" t="str">
        <f t="shared" si="2"/>
        <v>12Семейная ипотека ДФО24</v>
      </c>
      <c r="D102" s="46">
        <v>24</v>
      </c>
      <c r="E102" s="78"/>
      <c r="F102" s="78"/>
      <c r="G102" s="78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24"/>
      <c r="U102" s="24"/>
      <c r="V102" s="24"/>
      <c r="W102" s="24"/>
      <c r="Y102" s="51"/>
      <c r="Z102" s="51"/>
      <c r="AA102" s="51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</row>
    <row r="103" spans="1:54" s="43" customFormat="1" x14ac:dyDescent="0.25">
      <c r="A103" s="81">
        <v>12</v>
      </c>
      <c r="B103" s="43" t="s">
        <v>47</v>
      </c>
      <c r="C103" s="43" t="str">
        <f t="shared" si="2"/>
        <v>12Семейная ипотека ДФО36</v>
      </c>
      <c r="D103" s="46">
        <v>36</v>
      </c>
      <c r="E103" s="78"/>
      <c r="F103" s="78"/>
      <c r="G103" s="78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24"/>
      <c r="U103" s="24"/>
      <c r="V103" s="24"/>
      <c r="W103" s="24"/>
      <c r="Y103" s="51"/>
      <c r="Z103" s="51"/>
      <c r="AA103" s="51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</row>
    <row r="104" spans="1:54" s="43" customFormat="1" x14ac:dyDescent="0.25">
      <c r="A104" s="81">
        <v>12</v>
      </c>
      <c r="B104" s="43" t="s">
        <v>47</v>
      </c>
      <c r="C104" s="43" t="str">
        <f t="shared" si="2"/>
        <v>12Семейная ипотека ДФО48</v>
      </c>
      <c r="D104" s="46">
        <v>48</v>
      </c>
      <c r="E104" s="78"/>
      <c r="F104" s="78"/>
      <c r="G104" s="78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4"/>
      <c r="U104" s="24"/>
      <c r="V104" s="24"/>
      <c r="W104" s="24"/>
      <c r="Y104" s="51"/>
      <c r="Z104" s="51"/>
      <c r="AA104" s="51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</row>
    <row r="105" spans="1:54" s="43" customFormat="1" x14ac:dyDescent="0.25">
      <c r="A105" s="81">
        <v>12</v>
      </c>
      <c r="B105" s="43" t="s">
        <v>47</v>
      </c>
      <c r="C105" s="43" t="str">
        <f t="shared" si="2"/>
        <v>12Семейная ипотека ДФО60</v>
      </c>
      <c r="D105" s="46">
        <v>60</v>
      </c>
      <c r="E105" s="78"/>
      <c r="F105" s="78"/>
      <c r="G105" s="78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24"/>
      <c r="U105" s="24"/>
      <c r="V105" s="24"/>
      <c r="W105" s="24"/>
      <c r="Y105" s="51"/>
      <c r="Z105" s="51"/>
      <c r="AA105" s="51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</row>
    <row r="106" spans="1:54" s="43" customFormat="1" x14ac:dyDescent="0.25">
      <c r="A106" s="81">
        <v>12</v>
      </c>
      <c r="B106" s="43" t="s">
        <v>38</v>
      </c>
      <c r="C106" s="43" t="str">
        <f t="shared" si="2"/>
        <v>12Ипотека для IT-специалистов6</v>
      </c>
      <c r="D106" s="46">
        <v>6</v>
      </c>
      <c r="E106" s="78"/>
      <c r="F106" s="78"/>
      <c r="G106" s="78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24"/>
      <c r="U106" s="24"/>
      <c r="V106" s="24"/>
      <c r="W106" s="24"/>
      <c r="Y106" s="51"/>
      <c r="Z106" s="51"/>
      <c r="AA106" s="51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</row>
    <row r="107" spans="1:54" s="43" customFormat="1" x14ac:dyDescent="0.25">
      <c r="A107" s="81">
        <v>12</v>
      </c>
      <c r="B107" s="43" t="s">
        <v>38</v>
      </c>
      <c r="C107" s="43" t="str">
        <f t="shared" si="2"/>
        <v>12Ипотека для IT-специалистов12</v>
      </c>
      <c r="D107" s="46">
        <v>12</v>
      </c>
      <c r="E107" s="78"/>
      <c r="F107" s="78"/>
      <c r="G107" s="78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24"/>
      <c r="U107" s="24"/>
      <c r="V107" s="24"/>
      <c r="W107" s="24"/>
      <c r="Y107" s="51"/>
      <c r="Z107" s="51"/>
      <c r="AA107" s="51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54" s="43" customFormat="1" x14ac:dyDescent="0.25">
      <c r="A108" s="81">
        <v>12</v>
      </c>
      <c r="B108" s="43" t="s">
        <v>38</v>
      </c>
      <c r="C108" s="43" t="str">
        <f t="shared" si="2"/>
        <v>12Ипотека для IT-специалистов24</v>
      </c>
      <c r="D108" s="46">
        <v>24</v>
      </c>
      <c r="E108" s="78"/>
      <c r="F108" s="78"/>
      <c r="G108" s="78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4"/>
      <c r="U108" s="24"/>
      <c r="V108" s="24"/>
      <c r="W108" s="24"/>
      <c r="Y108" s="51"/>
      <c r="Z108" s="51"/>
      <c r="AA108" s="51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</row>
    <row r="109" spans="1:54" s="43" customFormat="1" x14ac:dyDescent="0.25">
      <c r="A109" s="81">
        <v>12</v>
      </c>
      <c r="B109" s="43" t="s">
        <v>38</v>
      </c>
      <c r="C109" s="43" t="str">
        <f t="shared" si="2"/>
        <v>12Ипотека для IT-специалистов36</v>
      </c>
      <c r="D109" s="46">
        <v>36</v>
      </c>
      <c r="E109" s="78"/>
      <c r="F109" s="78"/>
      <c r="G109" s="78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24"/>
      <c r="U109" s="24"/>
      <c r="V109" s="24"/>
      <c r="W109" s="24"/>
      <c r="Y109" s="51"/>
      <c r="Z109" s="51"/>
      <c r="AA109" s="51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</row>
    <row r="110" spans="1:54" s="43" customFormat="1" x14ac:dyDescent="0.25">
      <c r="A110" s="81">
        <v>12</v>
      </c>
      <c r="B110" s="43" t="s">
        <v>38</v>
      </c>
      <c r="C110" s="43" t="str">
        <f t="shared" si="2"/>
        <v>12Ипотека для IT-специалистов48</v>
      </c>
      <c r="D110" s="46">
        <v>48</v>
      </c>
      <c r="E110" s="78"/>
      <c r="F110" s="78"/>
      <c r="G110" s="78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24"/>
      <c r="U110" s="24"/>
      <c r="V110" s="24"/>
      <c r="W110" s="24"/>
      <c r="Y110" s="51"/>
      <c r="Z110" s="51"/>
      <c r="AA110" s="51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</row>
    <row r="111" spans="1:54" s="43" customFormat="1" x14ac:dyDescent="0.25">
      <c r="A111" s="81">
        <v>12</v>
      </c>
      <c r="B111" s="43" t="s">
        <v>38</v>
      </c>
      <c r="C111" s="43" t="str">
        <f t="shared" si="2"/>
        <v>12Ипотека для IT-специалистов60</v>
      </c>
      <c r="D111" s="46">
        <v>60</v>
      </c>
      <c r="E111" s="78"/>
      <c r="F111" s="78"/>
      <c r="G111" s="78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24"/>
      <c r="U111" s="24"/>
      <c r="V111" s="24"/>
      <c r="W111" s="24"/>
      <c r="Y111" s="51"/>
      <c r="Z111" s="51"/>
      <c r="AA111" s="51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54" s="43" customFormat="1" x14ac:dyDescent="0.25">
      <c r="A112" s="81"/>
      <c r="D112" s="45">
        <v>1.1200000000000001</v>
      </c>
      <c r="E112" s="47">
        <v>0.5</v>
      </c>
      <c r="F112" s="47">
        <v>1.5</v>
      </c>
      <c r="G112" s="47">
        <v>2</v>
      </c>
      <c r="H112" s="47">
        <v>2.5</v>
      </c>
      <c r="I112" s="47">
        <v>3</v>
      </c>
      <c r="J112" s="47">
        <v>3.5</v>
      </c>
      <c r="K112" s="47">
        <v>4</v>
      </c>
      <c r="L112" s="47">
        <v>4.5</v>
      </c>
      <c r="M112" s="47">
        <v>5</v>
      </c>
      <c r="N112" s="47">
        <v>5.5</v>
      </c>
      <c r="O112" s="47">
        <v>6</v>
      </c>
      <c r="P112" s="47">
        <v>6.5</v>
      </c>
      <c r="Q112" s="47">
        <v>7</v>
      </c>
      <c r="R112" s="47">
        <v>7.5</v>
      </c>
      <c r="S112" s="47">
        <v>8</v>
      </c>
      <c r="T112" s="47">
        <v>8.5</v>
      </c>
      <c r="U112" s="47">
        <v>9</v>
      </c>
      <c r="V112" s="47">
        <v>9.5</v>
      </c>
      <c r="W112" s="47">
        <v>10</v>
      </c>
      <c r="Y112" s="47">
        <v>0.5</v>
      </c>
      <c r="Z112" s="47">
        <v>1</v>
      </c>
      <c r="AA112" s="47">
        <v>1.5</v>
      </c>
      <c r="AB112" s="47">
        <v>2</v>
      </c>
      <c r="AC112" s="47">
        <v>2.5</v>
      </c>
      <c r="AD112" s="47">
        <v>3</v>
      </c>
      <c r="AE112" s="47">
        <v>3.5</v>
      </c>
      <c r="AF112" s="47">
        <v>4</v>
      </c>
      <c r="AG112" s="47">
        <v>4.5</v>
      </c>
      <c r="AH112" s="47">
        <v>5</v>
      </c>
      <c r="AI112" s="47">
        <v>5.5</v>
      </c>
      <c r="AJ112" s="47">
        <v>6</v>
      </c>
      <c r="AK112" s="47">
        <v>6.5</v>
      </c>
      <c r="AL112" s="47">
        <v>7</v>
      </c>
      <c r="AM112" s="47">
        <v>7.5</v>
      </c>
      <c r="AN112" s="47">
        <v>8</v>
      </c>
      <c r="AO112" s="47">
        <v>8.5</v>
      </c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</row>
    <row r="113" spans="1:54" s="52" customFormat="1" x14ac:dyDescent="0.25">
      <c r="A113" s="81">
        <v>12</v>
      </c>
      <c r="B113" s="52" t="s">
        <v>5</v>
      </c>
      <c r="C113" s="43" t="str">
        <f t="shared" si="2"/>
        <v>12Новостройка6</v>
      </c>
      <c r="D113" s="46">
        <v>6</v>
      </c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</row>
    <row r="114" spans="1:54" s="52" customFormat="1" x14ac:dyDescent="0.25">
      <c r="A114" s="81">
        <v>12</v>
      </c>
      <c r="B114" s="52" t="s">
        <v>5</v>
      </c>
      <c r="C114" s="43" t="str">
        <f t="shared" si="2"/>
        <v>12Новостройка12</v>
      </c>
      <c r="D114" s="46">
        <v>12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</row>
    <row r="115" spans="1:54" s="52" customFormat="1" x14ac:dyDescent="0.25">
      <c r="A115" s="81">
        <v>12</v>
      </c>
      <c r="B115" s="52" t="s">
        <v>5</v>
      </c>
      <c r="C115" s="43" t="str">
        <f t="shared" si="2"/>
        <v>12Новостройка24</v>
      </c>
      <c r="D115" s="46">
        <v>24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48"/>
      <c r="Q115" s="48"/>
      <c r="R115" s="48"/>
      <c r="S115" s="48"/>
      <c r="T115" s="48"/>
      <c r="U115" s="48"/>
      <c r="V115" s="48"/>
      <c r="W115" s="48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</row>
    <row r="116" spans="1:54" s="52" customFormat="1" x14ac:dyDescent="0.25">
      <c r="A116" s="81">
        <v>12</v>
      </c>
      <c r="B116" s="52" t="s">
        <v>5</v>
      </c>
      <c r="C116" s="43" t="str">
        <f t="shared" si="2"/>
        <v>12Новостройка36</v>
      </c>
      <c r="D116" s="46">
        <v>36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50"/>
      <c r="P116" s="48"/>
      <c r="Q116" s="48"/>
      <c r="R116" s="48"/>
      <c r="S116" s="48"/>
      <c r="T116" s="48"/>
      <c r="U116" s="48"/>
      <c r="V116" s="48"/>
      <c r="W116" s="48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</row>
    <row r="117" spans="1:54" s="52" customFormat="1" x14ac:dyDescent="0.25">
      <c r="A117" s="81">
        <v>12</v>
      </c>
      <c r="B117" s="52" t="s">
        <v>5</v>
      </c>
      <c r="C117" s="43" t="str">
        <f t="shared" si="2"/>
        <v>12Новостройка48</v>
      </c>
      <c r="D117" s="46">
        <v>48</v>
      </c>
      <c r="E117" s="78"/>
      <c r="F117" s="78"/>
      <c r="G117" s="78"/>
      <c r="H117" s="78"/>
      <c r="I117" s="78"/>
      <c r="J117" s="78"/>
      <c r="K117" s="78"/>
      <c r="L117" s="78"/>
      <c r="M117" s="7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</row>
    <row r="118" spans="1:54" s="52" customFormat="1" x14ac:dyDescent="0.25">
      <c r="A118" s="81">
        <v>12</v>
      </c>
      <c r="B118" s="52" t="s">
        <v>5</v>
      </c>
      <c r="C118" s="43" t="str">
        <f t="shared" si="2"/>
        <v>12Новостройка60</v>
      </c>
      <c r="D118" s="46">
        <v>60</v>
      </c>
      <c r="E118" s="78"/>
      <c r="F118" s="78"/>
      <c r="G118" s="78"/>
      <c r="H118" s="78"/>
      <c r="I118" s="78"/>
      <c r="J118" s="78"/>
      <c r="K118" s="78"/>
      <c r="L118" s="7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Y118" s="50"/>
      <c r="Z118" s="50"/>
      <c r="AA118" s="50"/>
      <c r="AB118" s="50"/>
      <c r="AC118" s="50"/>
      <c r="AD118" s="50"/>
      <c r="AE118" s="50"/>
      <c r="AF118" s="50"/>
      <c r="AG118" s="50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</row>
    <row r="119" spans="1:54" s="43" customFormat="1" x14ac:dyDescent="0.25">
      <c r="A119" s="81"/>
      <c r="D119" s="45">
        <v>1.18</v>
      </c>
      <c r="E119" s="18">
        <v>0.25</v>
      </c>
      <c r="F119" s="18">
        <v>0.75</v>
      </c>
      <c r="G119" s="18">
        <v>1</v>
      </c>
      <c r="H119" s="18">
        <v>1.25</v>
      </c>
      <c r="I119" s="18">
        <v>1.5</v>
      </c>
      <c r="J119" s="18">
        <v>1.7500000000000002</v>
      </c>
      <c r="K119" s="18">
        <v>2</v>
      </c>
      <c r="L119" s="18">
        <v>2.25</v>
      </c>
      <c r="M119" s="18">
        <v>2.5</v>
      </c>
      <c r="N119" s="18">
        <v>2.75</v>
      </c>
      <c r="O119" s="18">
        <v>3</v>
      </c>
      <c r="P119" s="18">
        <v>3.25</v>
      </c>
      <c r="Q119" s="18">
        <v>3.5000000000000004</v>
      </c>
      <c r="R119" s="18">
        <v>3.75</v>
      </c>
      <c r="S119" s="18">
        <v>4</v>
      </c>
      <c r="Y119" s="18">
        <v>0.25</v>
      </c>
      <c r="Z119" s="18">
        <v>0.5</v>
      </c>
      <c r="AA119" s="18">
        <v>0.75</v>
      </c>
      <c r="AB119" s="18">
        <v>1</v>
      </c>
      <c r="AC119" s="18">
        <v>1.25</v>
      </c>
      <c r="AD119" s="18">
        <v>1.5</v>
      </c>
      <c r="AE119" s="18">
        <v>1.7500000000000002</v>
      </c>
      <c r="AF119" s="18">
        <v>2</v>
      </c>
      <c r="AG119" s="18">
        <v>2.25</v>
      </c>
      <c r="AH119" s="18">
        <v>2.5</v>
      </c>
      <c r="AI119" s="18">
        <v>2.75</v>
      </c>
      <c r="AJ119" s="18">
        <v>3</v>
      </c>
      <c r="AK119" s="18">
        <v>3.25</v>
      </c>
      <c r="AL119" s="18">
        <v>3.5000000000000004</v>
      </c>
      <c r="AM119" s="18">
        <v>3.75</v>
      </c>
      <c r="AN119" s="18">
        <v>4</v>
      </c>
    </row>
    <row r="120" spans="1:54" s="43" customFormat="1" x14ac:dyDescent="0.25">
      <c r="A120" s="81">
        <v>18</v>
      </c>
      <c r="B120" s="43" t="s">
        <v>6</v>
      </c>
      <c r="C120" s="43" t="str">
        <f t="shared" si="2"/>
        <v>18Новостройка с господдержкой 20206</v>
      </c>
      <c r="D120" s="46">
        <v>6</v>
      </c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24"/>
      <c r="U120" s="24"/>
      <c r="V120" s="24"/>
      <c r="W120" s="24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16"/>
    </row>
    <row r="121" spans="1:54" s="43" customFormat="1" x14ac:dyDescent="0.25">
      <c r="A121" s="81">
        <v>18</v>
      </c>
      <c r="B121" s="43" t="s">
        <v>6</v>
      </c>
      <c r="C121" s="43" t="str">
        <f t="shared" si="2"/>
        <v>18Новостройка с господдержкой 202012</v>
      </c>
      <c r="D121" s="46">
        <v>12</v>
      </c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24"/>
      <c r="U121" s="24"/>
      <c r="V121" s="24"/>
      <c r="W121" s="24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16"/>
    </row>
    <row r="122" spans="1:54" s="43" customFormat="1" x14ac:dyDescent="0.25">
      <c r="A122" s="81">
        <v>18</v>
      </c>
      <c r="B122" s="43" t="s">
        <v>6</v>
      </c>
      <c r="C122" s="43" t="str">
        <f t="shared" si="2"/>
        <v>18Новостройка с господдержкой 202024</v>
      </c>
      <c r="D122" s="46">
        <v>24</v>
      </c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24"/>
      <c r="U122" s="24"/>
      <c r="V122" s="24"/>
      <c r="W122" s="24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16"/>
    </row>
    <row r="123" spans="1:54" s="43" customFormat="1" x14ac:dyDescent="0.25">
      <c r="A123" s="81">
        <v>18</v>
      </c>
      <c r="B123" s="43" t="s">
        <v>6</v>
      </c>
      <c r="C123" s="43" t="str">
        <f t="shared" si="2"/>
        <v>18Новостройка с господдержкой 202036</v>
      </c>
      <c r="D123" s="46">
        <v>36</v>
      </c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24"/>
      <c r="U123" s="24"/>
      <c r="V123" s="24"/>
      <c r="W123" s="24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16"/>
    </row>
    <row r="124" spans="1:54" s="43" customFormat="1" x14ac:dyDescent="0.25">
      <c r="A124" s="81">
        <v>18</v>
      </c>
      <c r="B124" s="43" t="s">
        <v>6</v>
      </c>
      <c r="C124" s="43" t="str">
        <f t="shared" si="2"/>
        <v>18Новостройка с господдержкой 202048</v>
      </c>
      <c r="D124" s="46">
        <v>48</v>
      </c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17"/>
      <c r="T124" s="24"/>
      <c r="U124" s="24"/>
      <c r="V124" s="24"/>
      <c r="W124" s="24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16"/>
    </row>
    <row r="125" spans="1:54" s="43" customFormat="1" x14ac:dyDescent="0.25">
      <c r="A125" s="81">
        <v>18</v>
      </c>
      <c r="B125" s="43" t="s">
        <v>6</v>
      </c>
      <c r="C125" s="43" t="str">
        <f t="shared" si="2"/>
        <v>18Новостройка с господдержкой 202060</v>
      </c>
      <c r="D125" s="46">
        <v>60</v>
      </c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17"/>
      <c r="T125" s="24"/>
      <c r="U125" s="24"/>
      <c r="V125" s="24"/>
      <c r="W125" s="24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16"/>
    </row>
    <row r="126" spans="1:54" s="43" customFormat="1" x14ac:dyDescent="0.25">
      <c r="A126" s="81">
        <v>18</v>
      </c>
      <c r="B126" s="43" t="s">
        <v>10</v>
      </c>
      <c r="C126" s="43" t="str">
        <f t="shared" si="2"/>
        <v>18Семейная ипотека6</v>
      </c>
      <c r="D126" s="46">
        <v>6</v>
      </c>
      <c r="E126" s="78"/>
      <c r="F126" s="78"/>
      <c r="G126" s="78"/>
      <c r="H126" s="78"/>
      <c r="I126" s="78"/>
      <c r="J126" s="78"/>
      <c r="K126" s="78"/>
      <c r="L126" s="17"/>
      <c r="M126" s="17"/>
      <c r="N126" s="17"/>
      <c r="O126" s="17"/>
      <c r="P126" s="17"/>
      <c r="Q126" s="17"/>
      <c r="R126" s="17"/>
      <c r="S126" s="17"/>
      <c r="T126" s="24"/>
      <c r="U126" s="24"/>
      <c r="V126" s="24"/>
      <c r="W126" s="24"/>
      <c r="Y126" s="51"/>
      <c r="Z126" s="51"/>
      <c r="AA126" s="51"/>
      <c r="AB126" s="51"/>
      <c r="AC126" s="51"/>
      <c r="AD126" s="51"/>
      <c r="AE126" s="51"/>
      <c r="AF126" s="16"/>
      <c r="AG126" s="16"/>
      <c r="AH126" s="16"/>
      <c r="AI126" s="16"/>
      <c r="AJ126" s="16"/>
      <c r="AK126" s="16"/>
      <c r="AL126" s="16"/>
      <c r="AM126" s="16"/>
      <c r="AN126" s="16"/>
    </row>
    <row r="127" spans="1:54" s="43" customFormat="1" x14ac:dyDescent="0.25">
      <c r="A127" s="81">
        <v>18</v>
      </c>
      <c r="B127" s="43" t="s">
        <v>10</v>
      </c>
      <c r="C127" s="43" t="str">
        <f t="shared" si="2"/>
        <v>18Семейная ипотека12</v>
      </c>
      <c r="D127" s="46">
        <v>12</v>
      </c>
      <c r="E127" s="78"/>
      <c r="F127" s="78"/>
      <c r="G127" s="78"/>
      <c r="H127" s="78"/>
      <c r="I127" s="78"/>
      <c r="J127" s="78"/>
      <c r="K127" s="78"/>
      <c r="L127" s="17"/>
      <c r="M127" s="17"/>
      <c r="N127" s="17"/>
      <c r="O127" s="17"/>
      <c r="P127" s="17"/>
      <c r="Q127" s="17"/>
      <c r="R127" s="17"/>
      <c r="S127" s="17"/>
      <c r="T127" s="24"/>
      <c r="U127" s="24"/>
      <c r="V127" s="24"/>
      <c r="W127" s="24"/>
      <c r="Y127" s="51"/>
      <c r="Z127" s="51"/>
      <c r="AA127" s="51"/>
      <c r="AB127" s="51"/>
      <c r="AC127" s="51"/>
      <c r="AD127" s="51"/>
      <c r="AE127" s="51"/>
      <c r="AF127" s="16"/>
      <c r="AG127" s="16"/>
      <c r="AH127" s="16"/>
      <c r="AI127" s="16"/>
      <c r="AJ127" s="16"/>
      <c r="AK127" s="16"/>
      <c r="AL127" s="16"/>
      <c r="AM127" s="16"/>
      <c r="AN127" s="16"/>
    </row>
    <row r="128" spans="1:54" s="43" customFormat="1" x14ac:dyDescent="0.25">
      <c r="A128" s="81">
        <v>18</v>
      </c>
      <c r="B128" s="43" t="s">
        <v>10</v>
      </c>
      <c r="C128" s="43" t="str">
        <f t="shared" si="2"/>
        <v>18Семейная ипотека24</v>
      </c>
      <c r="D128" s="46">
        <v>24</v>
      </c>
      <c r="E128" s="78"/>
      <c r="F128" s="78"/>
      <c r="G128" s="78"/>
      <c r="H128" s="78"/>
      <c r="I128" s="78"/>
      <c r="J128" s="78"/>
      <c r="K128" s="78"/>
      <c r="L128" s="17"/>
      <c r="M128" s="17"/>
      <c r="N128" s="17"/>
      <c r="O128" s="17"/>
      <c r="P128" s="17"/>
      <c r="Q128" s="17"/>
      <c r="R128" s="17"/>
      <c r="S128" s="17"/>
      <c r="T128" s="24"/>
      <c r="U128" s="24"/>
      <c r="V128" s="24"/>
      <c r="W128" s="24"/>
      <c r="Y128" s="51"/>
      <c r="Z128" s="51"/>
      <c r="AA128" s="51"/>
      <c r="AB128" s="51"/>
      <c r="AC128" s="51"/>
      <c r="AD128" s="51"/>
      <c r="AE128" s="51"/>
      <c r="AF128" s="16"/>
      <c r="AG128" s="16"/>
      <c r="AH128" s="16"/>
      <c r="AI128" s="16"/>
      <c r="AJ128" s="16"/>
      <c r="AK128" s="16"/>
      <c r="AL128" s="16"/>
      <c r="AM128" s="16"/>
      <c r="AN128" s="16"/>
    </row>
    <row r="129" spans="1:54" s="43" customFormat="1" x14ac:dyDescent="0.25">
      <c r="A129" s="81">
        <v>18</v>
      </c>
      <c r="B129" s="43" t="s">
        <v>10</v>
      </c>
      <c r="C129" s="43" t="str">
        <f t="shared" si="2"/>
        <v>18Семейная ипотека36</v>
      </c>
      <c r="D129" s="46">
        <v>36</v>
      </c>
      <c r="E129" s="78"/>
      <c r="F129" s="78"/>
      <c r="G129" s="78"/>
      <c r="H129" s="78"/>
      <c r="I129" s="78"/>
      <c r="J129" s="78"/>
      <c r="K129" s="78"/>
      <c r="L129" s="17"/>
      <c r="M129" s="17"/>
      <c r="N129" s="17"/>
      <c r="O129" s="17"/>
      <c r="P129" s="17"/>
      <c r="Q129" s="17"/>
      <c r="R129" s="17"/>
      <c r="S129" s="17"/>
      <c r="T129" s="24"/>
      <c r="U129" s="24"/>
      <c r="V129" s="24"/>
      <c r="W129" s="24"/>
      <c r="Y129" s="51"/>
      <c r="Z129" s="51"/>
      <c r="AA129" s="51"/>
      <c r="AB129" s="51"/>
      <c r="AC129" s="51"/>
      <c r="AD129" s="51"/>
      <c r="AE129" s="51"/>
      <c r="AF129" s="16"/>
      <c r="AG129" s="16"/>
      <c r="AH129" s="16"/>
      <c r="AI129" s="16"/>
      <c r="AJ129" s="16"/>
      <c r="AK129" s="16"/>
      <c r="AL129" s="16"/>
      <c r="AM129" s="16"/>
      <c r="AN129" s="16"/>
    </row>
    <row r="130" spans="1:54" s="43" customFormat="1" x14ac:dyDescent="0.25">
      <c r="A130" s="81">
        <v>18</v>
      </c>
      <c r="B130" s="43" t="s">
        <v>10</v>
      </c>
      <c r="C130" s="43" t="str">
        <f t="shared" si="2"/>
        <v>18Семейная ипотека48</v>
      </c>
      <c r="D130" s="46">
        <v>48</v>
      </c>
      <c r="E130" s="78"/>
      <c r="F130" s="78"/>
      <c r="G130" s="78"/>
      <c r="H130" s="78"/>
      <c r="I130" s="78"/>
      <c r="J130" s="78"/>
      <c r="K130" s="78"/>
      <c r="L130" s="17"/>
      <c r="M130" s="17"/>
      <c r="N130" s="17"/>
      <c r="O130" s="17"/>
      <c r="P130" s="17"/>
      <c r="Q130" s="17"/>
      <c r="R130" s="17"/>
      <c r="S130" s="17"/>
      <c r="T130" s="24"/>
      <c r="U130" s="24"/>
      <c r="V130" s="24"/>
      <c r="W130" s="24"/>
      <c r="Y130" s="51"/>
      <c r="Z130" s="51"/>
      <c r="AA130" s="51"/>
      <c r="AB130" s="51"/>
      <c r="AC130" s="51"/>
      <c r="AD130" s="51"/>
      <c r="AE130" s="51"/>
      <c r="AF130" s="16"/>
      <c r="AG130" s="16"/>
      <c r="AH130" s="16"/>
      <c r="AI130" s="16"/>
      <c r="AJ130" s="16"/>
      <c r="AK130" s="16"/>
      <c r="AL130" s="16"/>
      <c r="AM130" s="16"/>
      <c r="AN130" s="16"/>
    </row>
    <row r="131" spans="1:54" s="43" customFormat="1" x14ac:dyDescent="0.25">
      <c r="A131" s="81">
        <v>18</v>
      </c>
      <c r="B131" s="43" t="s">
        <v>10</v>
      </c>
      <c r="C131" s="43" t="str">
        <f t="shared" si="2"/>
        <v>18Семейная ипотека60</v>
      </c>
      <c r="D131" s="46">
        <v>60</v>
      </c>
      <c r="E131" s="78"/>
      <c r="F131" s="78"/>
      <c r="G131" s="78"/>
      <c r="H131" s="78"/>
      <c r="I131" s="78"/>
      <c r="J131" s="78"/>
      <c r="K131" s="78"/>
      <c r="L131" s="17"/>
      <c r="M131" s="17"/>
      <c r="N131" s="17"/>
      <c r="O131" s="17"/>
      <c r="P131" s="17"/>
      <c r="Q131" s="17"/>
      <c r="R131" s="17"/>
      <c r="S131" s="17"/>
      <c r="T131" s="24"/>
      <c r="U131" s="24"/>
      <c r="V131" s="24"/>
      <c r="W131" s="24"/>
      <c r="Y131" s="51"/>
      <c r="Z131" s="51"/>
      <c r="AA131" s="51"/>
      <c r="AB131" s="51"/>
      <c r="AC131" s="51"/>
      <c r="AD131" s="51"/>
      <c r="AE131" s="51"/>
      <c r="AF131" s="16"/>
      <c r="AG131" s="16"/>
      <c r="AH131" s="16"/>
      <c r="AI131" s="16"/>
      <c r="AJ131" s="16"/>
      <c r="AK131" s="16"/>
      <c r="AL131" s="16"/>
      <c r="AM131" s="16"/>
      <c r="AN131" s="16"/>
    </row>
    <row r="132" spans="1:54" s="43" customFormat="1" x14ac:dyDescent="0.25">
      <c r="A132" s="81">
        <v>18</v>
      </c>
      <c r="B132" s="43" t="s">
        <v>47</v>
      </c>
      <c r="C132" s="43" t="str">
        <f t="shared" si="2"/>
        <v>18Семейная ипотека ДФО6</v>
      </c>
      <c r="D132" s="46">
        <v>6</v>
      </c>
      <c r="E132" s="78"/>
      <c r="F132" s="78"/>
      <c r="G132" s="78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24"/>
      <c r="U132" s="24"/>
      <c r="V132" s="24"/>
      <c r="W132" s="24"/>
      <c r="Y132" s="51"/>
      <c r="Z132" s="51"/>
      <c r="AA132" s="51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</row>
    <row r="133" spans="1:54" s="43" customFormat="1" x14ac:dyDescent="0.25">
      <c r="A133" s="81">
        <v>18</v>
      </c>
      <c r="B133" s="43" t="s">
        <v>47</v>
      </c>
      <c r="C133" s="43" t="str">
        <f t="shared" si="2"/>
        <v>18Семейная ипотека ДФО12</v>
      </c>
      <c r="D133" s="46">
        <v>12</v>
      </c>
      <c r="E133" s="78"/>
      <c r="F133" s="78"/>
      <c r="G133" s="7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24"/>
      <c r="U133" s="24"/>
      <c r="V133" s="24"/>
      <c r="W133" s="24"/>
      <c r="Y133" s="51"/>
      <c r="Z133" s="51"/>
      <c r="AA133" s="51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</row>
    <row r="134" spans="1:54" s="43" customFormat="1" x14ac:dyDescent="0.25">
      <c r="A134" s="81">
        <v>18</v>
      </c>
      <c r="B134" s="43" t="s">
        <v>47</v>
      </c>
      <c r="C134" s="43" t="str">
        <f t="shared" si="2"/>
        <v>18Семейная ипотека ДФО24</v>
      </c>
      <c r="D134" s="46">
        <v>24</v>
      </c>
      <c r="E134" s="78"/>
      <c r="F134" s="78"/>
      <c r="G134" s="78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24"/>
      <c r="U134" s="24"/>
      <c r="V134" s="24"/>
      <c r="W134" s="24"/>
      <c r="Y134" s="51"/>
      <c r="Z134" s="51"/>
      <c r="AA134" s="51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</row>
    <row r="135" spans="1:54" s="43" customFormat="1" x14ac:dyDescent="0.25">
      <c r="A135" s="81">
        <v>18</v>
      </c>
      <c r="B135" s="43" t="s">
        <v>47</v>
      </c>
      <c r="C135" s="43" t="str">
        <f t="shared" si="2"/>
        <v>18Семейная ипотека ДФО36</v>
      </c>
      <c r="D135" s="46">
        <v>36</v>
      </c>
      <c r="E135" s="78"/>
      <c r="F135" s="78"/>
      <c r="G135" s="78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24"/>
      <c r="U135" s="24"/>
      <c r="V135" s="24"/>
      <c r="W135" s="24"/>
      <c r="Y135" s="51"/>
      <c r="Z135" s="51"/>
      <c r="AA135" s="51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</row>
    <row r="136" spans="1:54" s="43" customFormat="1" x14ac:dyDescent="0.25">
      <c r="A136" s="81">
        <v>18</v>
      </c>
      <c r="B136" s="43" t="s">
        <v>47</v>
      </c>
      <c r="C136" s="43" t="str">
        <f t="shared" si="2"/>
        <v>18Семейная ипотека ДФО48</v>
      </c>
      <c r="D136" s="46">
        <v>48</v>
      </c>
      <c r="E136" s="78"/>
      <c r="F136" s="78"/>
      <c r="G136" s="78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24"/>
      <c r="U136" s="24"/>
      <c r="V136" s="24"/>
      <c r="W136" s="24"/>
      <c r="Y136" s="51"/>
      <c r="Z136" s="51"/>
      <c r="AA136" s="51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</row>
    <row r="137" spans="1:54" s="43" customFormat="1" x14ac:dyDescent="0.25">
      <c r="A137" s="81">
        <v>18</v>
      </c>
      <c r="B137" s="43" t="s">
        <v>47</v>
      </c>
      <c r="C137" s="43" t="str">
        <f t="shared" si="2"/>
        <v>18Семейная ипотека ДФО60</v>
      </c>
      <c r="D137" s="46">
        <v>60</v>
      </c>
      <c r="E137" s="78"/>
      <c r="F137" s="78"/>
      <c r="G137" s="78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24"/>
      <c r="U137" s="24"/>
      <c r="V137" s="24"/>
      <c r="W137" s="24"/>
      <c r="Y137" s="51"/>
      <c r="Z137" s="51"/>
      <c r="AA137" s="51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</row>
    <row r="138" spans="1:54" s="43" customFormat="1" x14ac:dyDescent="0.25">
      <c r="A138" s="81">
        <v>18</v>
      </c>
      <c r="B138" s="43" t="s">
        <v>38</v>
      </c>
      <c r="C138" s="43" t="str">
        <f t="shared" si="2"/>
        <v>18Ипотека для IT-специалистов6</v>
      </c>
      <c r="D138" s="46">
        <v>6</v>
      </c>
      <c r="E138" s="78"/>
      <c r="F138" s="78"/>
      <c r="G138" s="78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24"/>
      <c r="U138" s="24"/>
      <c r="V138" s="24"/>
      <c r="W138" s="24"/>
      <c r="Y138" s="51"/>
      <c r="Z138" s="51"/>
      <c r="AA138" s="51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</row>
    <row r="139" spans="1:54" s="43" customFormat="1" x14ac:dyDescent="0.25">
      <c r="A139" s="81">
        <v>18</v>
      </c>
      <c r="B139" s="43" t="s">
        <v>38</v>
      </c>
      <c r="C139" s="43" t="str">
        <f t="shared" si="2"/>
        <v>18Ипотека для IT-специалистов12</v>
      </c>
      <c r="D139" s="46">
        <v>12</v>
      </c>
      <c r="E139" s="78"/>
      <c r="F139" s="78"/>
      <c r="G139" s="78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24"/>
      <c r="U139" s="24"/>
      <c r="V139" s="24"/>
      <c r="W139" s="24"/>
      <c r="Y139" s="51"/>
      <c r="Z139" s="51"/>
      <c r="AA139" s="51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</row>
    <row r="140" spans="1:54" s="43" customFormat="1" x14ac:dyDescent="0.25">
      <c r="A140" s="81">
        <v>18</v>
      </c>
      <c r="B140" s="43" t="s">
        <v>38</v>
      </c>
      <c r="C140" s="43" t="str">
        <f t="shared" si="2"/>
        <v>18Ипотека для IT-специалистов24</v>
      </c>
      <c r="D140" s="46">
        <v>24</v>
      </c>
      <c r="E140" s="78"/>
      <c r="F140" s="78"/>
      <c r="G140" s="78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24"/>
      <c r="U140" s="24"/>
      <c r="V140" s="24"/>
      <c r="W140" s="24"/>
      <c r="Y140" s="51"/>
      <c r="Z140" s="51"/>
      <c r="AA140" s="51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</row>
    <row r="141" spans="1:54" s="43" customFormat="1" x14ac:dyDescent="0.25">
      <c r="A141" s="81">
        <v>18</v>
      </c>
      <c r="B141" s="43" t="s">
        <v>38</v>
      </c>
      <c r="C141" s="43" t="str">
        <f t="shared" si="2"/>
        <v>18Ипотека для IT-специалистов36</v>
      </c>
      <c r="D141" s="46">
        <v>36</v>
      </c>
      <c r="E141" s="78"/>
      <c r="F141" s="78"/>
      <c r="G141" s="78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24"/>
      <c r="U141" s="24"/>
      <c r="V141" s="24"/>
      <c r="W141" s="24"/>
      <c r="Y141" s="51"/>
      <c r="Z141" s="51"/>
      <c r="AA141" s="51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</row>
    <row r="142" spans="1:54" s="43" customFormat="1" x14ac:dyDescent="0.25">
      <c r="A142" s="81">
        <v>18</v>
      </c>
      <c r="B142" s="43" t="s">
        <v>38</v>
      </c>
      <c r="C142" s="43" t="str">
        <f t="shared" si="2"/>
        <v>18Ипотека для IT-специалистов48</v>
      </c>
      <c r="D142" s="46">
        <v>48</v>
      </c>
      <c r="E142" s="78"/>
      <c r="F142" s="78"/>
      <c r="G142" s="78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24"/>
      <c r="U142" s="24"/>
      <c r="V142" s="24"/>
      <c r="W142" s="24"/>
      <c r="Y142" s="51"/>
      <c r="Z142" s="51"/>
      <c r="AA142" s="51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</row>
    <row r="143" spans="1:54" s="43" customFormat="1" ht="14.25" customHeight="1" x14ac:dyDescent="0.25">
      <c r="A143" s="81">
        <v>18</v>
      </c>
      <c r="B143" s="43" t="s">
        <v>38</v>
      </c>
      <c r="C143" s="43" t="str">
        <f t="shared" si="2"/>
        <v>18Ипотека для IT-специалистов60</v>
      </c>
      <c r="D143" s="46">
        <v>60</v>
      </c>
      <c r="E143" s="78"/>
      <c r="F143" s="78"/>
      <c r="G143" s="78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24"/>
      <c r="U143" s="24"/>
      <c r="V143" s="24"/>
      <c r="W143" s="24"/>
      <c r="Y143" s="51"/>
      <c r="Z143" s="51"/>
      <c r="AA143" s="51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</row>
    <row r="144" spans="1:54" s="43" customFormat="1" x14ac:dyDescent="0.25">
      <c r="A144" s="81"/>
      <c r="D144" s="45">
        <v>1.18</v>
      </c>
      <c r="E144" s="47">
        <v>0.5</v>
      </c>
      <c r="F144" s="47">
        <v>1.5</v>
      </c>
      <c r="G144" s="47">
        <v>2</v>
      </c>
      <c r="H144" s="47">
        <v>2.5</v>
      </c>
      <c r="I144" s="47">
        <v>3</v>
      </c>
      <c r="J144" s="47">
        <v>3.5</v>
      </c>
      <c r="K144" s="47">
        <v>4</v>
      </c>
      <c r="L144" s="47">
        <v>4.5</v>
      </c>
      <c r="M144" s="47">
        <v>5</v>
      </c>
      <c r="N144" s="47">
        <v>5.5</v>
      </c>
      <c r="O144" s="47">
        <v>6</v>
      </c>
      <c r="P144" s="47">
        <v>6.5</v>
      </c>
      <c r="Q144" s="47">
        <v>7</v>
      </c>
      <c r="R144" s="47">
        <v>7.5</v>
      </c>
      <c r="S144" s="47">
        <v>8</v>
      </c>
      <c r="T144" s="47">
        <v>8.5</v>
      </c>
      <c r="U144" s="47">
        <v>9</v>
      </c>
      <c r="V144" s="47">
        <v>9.5</v>
      </c>
      <c r="W144" s="47">
        <v>10</v>
      </c>
      <c r="Y144" s="47">
        <v>0.5</v>
      </c>
      <c r="Z144" s="47">
        <v>1</v>
      </c>
      <c r="AA144" s="47">
        <v>1.5</v>
      </c>
      <c r="AB144" s="47">
        <v>2</v>
      </c>
      <c r="AC144" s="47">
        <v>2.5</v>
      </c>
      <c r="AD144" s="47">
        <v>3</v>
      </c>
      <c r="AE144" s="47">
        <v>3.5</v>
      </c>
      <c r="AF144" s="47">
        <v>4</v>
      </c>
      <c r="AG144" s="47">
        <v>4.5</v>
      </c>
      <c r="AH144" s="47">
        <v>5</v>
      </c>
      <c r="AI144" s="47">
        <v>5.5</v>
      </c>
      <c r="AJ144" s="47">
        <v>6</v>
      </c>
      <c r="AK144" s="47">
        <v>6.5</v>
      </c>
      <c r="AL144" s="47">
        <v>7</v>
      </c>
      <c r="AM144" s="47">
        <v>7.5</v>
      </c>
      <c r="AN144" s="47">
        <v>8</v>
      </c>
      <c r="AO144" s="47">
        <v>8.5</v>
      </c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</row>
    <row r="145" spans="1:54" s="52" customFormat="1" x14ac:dyDescent="0.25">
      <c r="A145" s="81">
        <v>18</v>
      </c>
      <c r="B145" s="52" t="s">
        <v>5</v>
      </c>
      <c r="C145" s="43" t="str">
        <f t="shared" si="2"/>
        <v>18Новостройка6</v>
      </c>
      <c r="D145" s="46">
        <v>6</v>
      </c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</row>
    <row r="146" spans="1:54" s="52" customFormat="1" x14ac:dyDescent="0.25">
      <c r="A146" s="81">
        <v>18</v>
      </c>
      <c r="B146" s="52" t="s">
        <v>5</v>
      </c>
      <c r="C146" s="43" t="str">
        <f t="shared" si="2"/>
        <v>18Новостройка12</v>
      </c>
      <c r="D146" s="46">
        <v>12</v>
      </c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</row>
    <row r="147" spans="1:54" s="52" customFormat="1" x14ac:dyDescent="0.25">
      <c r="A147" s="81">
        <v>18</v>
      </c>
      <c r="B147" s="52" t="s">
        <v>5</v>
      </c>
      <c r="C147" s="43" t="str">
        <f t="shared" si="2"/>
        <v>18Новостройка24</v>
      </c>
      <c r="D147" s="46">
        <v>24</v>
      </c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48"/>
      <c r="Q147" s="48"/>
      <c r="R147" s="48"/>
      <c r="S147" s="48"/>
      <c r="T147" s="48"/>
      <c r="U147" s="48"/>
      <c r="V147" s="48"/>
      <c r="W147" s="48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</row>
    <row r="148" spans="1:54" s="52" customFormat="1" x14ac:dyDescent="0.25">
      <c r="A148" s="81">
        <v>18</v>
      </c>
      <c r="B148" s="52" t="s">
        <v>5</v>
      </c>
      <c r="C148" s="43" t="str">
        <f t="shared" si="2"/>
        <v>18Новостройка36</v>
      </c>
      <c r="D148" s="46">
        <v>36</v>
      </c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50"/>
      <c r="P148" s="48"/>
      <c r="Q148" s="48"/>
      <c r="R148" s="48"/>
      <c r="S148" s="48"/>
      <c r="T148" s="48"/>
      <c r="U148" s="48"/>
      <c r="V148" s="48"/>
      <c r="W148" s="48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</row>
    <row r="149" spans="1:54" s="52" customFormat="1" x14ac:dyDescent="0.25">
      <c r="A149" s="81">
        <v>18</v>
      </c>
      <c r="B149" s="52" t="s">
        <v>5</v>
      </c>
      <c r="C149" s="43" t="str">
        <f t="shared" si="2"/>
        <v>18Новостройка48</v>
      </c>
      <c r="D149" s="46">
        <v>48</v>
      </c>
      <c r="E149" s="78"/>
      <c r="F149" s="78"/>
      <c r="G149" s="78"/>
      <c r="H149" s="78"/>
      <c r="I149" s="78"/>
      <c r="J149" s="78"/>
      <c r="K149" s="78"/>
      <c r="L149" s="78"/>
      <c r="M149" s="7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</row>
    <row r="150" spans="1:54" s="52" customFormat="1" x14ac:dyDescent="0.25">
      <c r="A150" s="81">
        <v>18</v>
      </c>
      <c r="B150" s="52" t="s">
        <v>5</v>
      </c>
      <c r="C150" s="43" t="str">
        <f t="shared" ref="C150:C182" si="3">CONCATENATE(A150,B150,D150)</f>
        <v>18Новостройка60</v>
      </c>
      <c r="D150" s="46">
        <v>60</v>
      </c>
      <c r="E150" s="78"/>
      <c r="F150" s="78"/>
      <c r="G150" s="78"/>
      <c r="H150" s="78"/>
      <c r="I150" s="78"/>
      <c r="J150" s="78"/>
      <c r="K150" s="78"/>
      <c r="L150" s="7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Y150" s="50"/>
      <c r="Z150" s="50"/>
      <c r="AA150" s="50"/>
      <c r="AB150" s="50"/>
      <c r="AC150" s="50"/>
      <c r="AD150" s="50"/>
      <c r="AE150" s="50"/>
      <c r="AF150" s="50"/>
      <c r="AG150" s="50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</row>
    <row r="151" spans="1:54" s="43" customFormat="1" x14ac:dyDescent="0.25">
      <c r="A151" s="81"/>
      <c r="D151" s="45">
        <v>1.24</v>
      </c>
      <c r="E151" s="18">
        <v>0.25</v>
      </c>
      <c r="F151" s="18">
        <v>0.75</v>
      </c>
      <c r="G151" s="18">
        <v>1</v>
      </c>
      <c r="H151" s="18">
        <v>1.25</v>
      </c>
      <c r="I151" s="18">
        <v>1.5</v>
      </c>
      <c r="J151" s="18">
        <v>1.7500000000000002</v>
      </c>
      <c r="K151" s="18">
        <v>2</v>
      </c>
      <c r="L151" s="18">
        <v>2.25</v>
      </c>
      <c r="M151" s="18">
        <v>2.5</v>
      </c>
      <c r="N151" s="18">
        <v>2.75</v>
      </c>
      <c r="O151" s="18">
        <v>3</v>
      </c>
      <c r="P151" s="18">
        <v>3.25</v>
      </c>
      <c r="Q151" s="18">
        <v>3.5000000000000004</v>
      </c>
      <c r="R151" s="18">
        <v>3.75</v>
      </c>
      <c r="S151" s="18">
        <v>4</v>
      </c>
      <c r="Y151" s="18">
        <v>0.25</v>
      </c>
      <c r="Z151" s="18">
        <v>0.5</v>
      </c>
      <c r="AA151" s="18">
        <v>0.75</v>
      </c>
      <c r="AB151" s="18">
        <v>1</v>
      </c>
      <c r="AC151" s="18">
        <v>1.25</v>
      </c>
      <c r="AD151" s="18">
        <v>1.5</v>
      </c>
      <c r="AE151" s="18">
        <v>1.7500000000000002</v>
      </c>
      <c r="AF151" s="18">
        <v>2</v>
      </c>
      <c r="AG151" s="18">
        <v>2.25</v>
      </c>
      <c r="AH151" s="18">
        <v>2.5</v>
      </c>
      <c r="AI151" s="18">
        <v>2.75</v>
      </c>
      <c r="AJ151" s="18">
        <v>3</v>
      </c>
      <c r="AK151" s="18">
        <v>3.25</v>
      </c>
      <c r="AL151" s="18">
        <v>3.5000000000000004</v>
      </c>
      <c r="AM151" s="18">
        <v>3.75</v>
      </c>
      <c r="AN151" s="18">
        <v>4</v>
      </c>
    </row>
    <row r="152" spans="1:54" s="43" customFormat="1" x14ac:dyDescent="0.25">
      <c r="A152" s="81">
        <v>24</v>
      </c>
      <c r="B152" s="43" t="s">
        <v>6</v>
      </c>
      <c r="C152" s="43" t="str">
        <f t="shared" si="3"/>
        <v>24Новостройка с господдержкой 20206</v>
      </c>
      <c r="D152" s="46">
        <v>6</v>
      </c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24"/>
      <c r="U152" s="24"/>
      <c r="V152" s="24"/>
      <c r="W152" s="24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16"/>
    </row>
    <row r="153" spans="1:54" s="43" customFormat="1" x14ac:dyDescent="0.25">
      <c r="A153" s="81">
        <v>24</v>
      </c>
      <c r="B153" s="43" t="s">
        <v>6</v>
      </c>
      <c r="C153" s="43" t="str">
        <f t="shared" si="3"/>
        <v>24Новостройка с господдержкой 202012</v>
      </c>
      <c r="D153" s="46">
        <v>12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24"/>
      <c r="U153" s="24"/>
      <c r="V153" s="24"/>
      <c r="W153" s="24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16"/>
    </row>
    <row r="154" spans="1:54" s="43" customFormat="1" x14ac:dyDescent="0.25">
      <c r="A154" s="81">
        <v>24</v>
      </c>
      <c r="B154" s="43" t="s">
        <v>6</v>
      </c>
      <c r="C154" s="43" t="str">
        <f t="shared" si="3"/>
        <v>24Новостройка с господдержкой 202024</v>
      </c>
      <c r="D154" s="46">
        <v>24</v>
      </c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24"/>
      <c r="U154" s="24"/>
      <c r="V154" s="24"/>
      <c r="W154" s="24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16"/>
    </row>
    <row r="155" spans="1:54" s="43" customFormat="1" x14ac:dyDescent="0.25">
      <c r="A155" s="81">
        <v>24</v>
      </c>
      <c r="B155" s="43" t="s">
        <v>6</v>
      </c>
      <c r="C155" s="43" t="str">
        <f t="shared" si="3"/>
        <v>24Новостройка с господдержкой 202036</v>
      </c>
      <c r="D155" s="46">
        <v>36</v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24"/>
      <c r="U155" s="24"/>
      <c r="V155" s="24"/>
      <c r="W155" s="24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16"/>
    </row>
    <row r="156" spans="1:54" s="43" customFormat="1" x14ac:dyDescent="0.25">
      <c r="A156" s="81">
        <v>24</v>
      </c>
      <c r="B156" s="43" t="s">
        <v>6</v>
      </c>
      <c r="C156" s="43" t="str">
        <f t="shared" si="3"/>
        <v>24Новостройка с господдержкой 202048</v>
      </c>
      <c r="D156" s="46">
        <v>48</v>
      </c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17"/>
      <c r="T156" s="24"/>
      <c r="U156" s="24"/>
      <c r="V156" s="24"/>
      <c r="W156" s="24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16"/>
    </row>
    <row r="157" spans="1:54" s="43" customFormat="1" x14ac:dyDescent="0.25">
      <c r="A157" s="81">
        <v>24</v>
      </c>
      <c r="B157" s="43" t="s">
        <v>6</v>
      </c>
      <c r="C157" s="43" t="str">
        <f t="shared" si="3"/>
        <v>24Новостройка с господдержкой 202060</v>
      </c>
      <c r="D157" s="46">
        <v>60</v>
      </c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17"/>
      <c r="T157" s="24"/>
      <c r="U157" s="24"/>
      <c r="V157" s="24"/>
      <c r="W157" s="24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16"/>
    </row>
    <row r="158" spans="1:54" s="43" customFormat="1" x14ac:dyDescent="0.25">
      <c r="A158" s="81">
        <v>24</v>
      </c>
      <c r="B158" s="43" t="s">
        <v>10</v>
      </c>
      <c r="C158" s="43" t="str">
        <f t="shared" si="3"/>
        <v>24Семейная ипотека6</v>
      </c>
      <c r="D158" s="46">
        <v>6</v>
      </c>
      <c r="E158" s="78"/>
      <c r="F158" s="78"/>
      <c r="G158" s="78"/>
      <c r="H158" s="78"/>
      <c r="I158" s="78"/>
      <c r="J158" s="78"/>
      <c r="K158" s="78"/>
      <c r="L158" s="17"/>
      <c r="M158" s="17"/>
      <c r="N158" s="17"/>
      <c r="O158" s="17"/>
      <c r="P158" s="17"/>
      <c r="Q158" s="17"/>
      <c r="R158" s="17"/>
      <c r="S158" s="17"/>
      <c r="T158" s="24"/>
      <c r="U158" s="24"/>
      <c r="V158" s="24"/>
      <c r="W158" s="24"/>
      <c r="Y158" s="51"/>
      <c r="Z158" s="51"/>
      <c r="AA158" s="51"/>
      <c r="AB158" s="51"/>
      <c r="AC158" s="51"/>
      <c r="AD158" s="51"/>
      <c r="AE158" s="51"/>
      <c r="AF158" s="16"/>
      <c r="AG158" s="16"/>
      <c r="AH158" s="16"/>
      <c r="AI158" s="16"/>
      <c r="AJ158" s="16"/>
      <c r="AK158" s="16"/>
      <c r="AL158" s="16"/>
      <c r="AM158" s="16"/>
      <c r="AN158" s="16"/>
    </row>
    <row r="159" spans="1:54" s="43" customFormat="1" x14ac:dyDescent="0.25">
      <c r="A159" s="81">
        <v>24</v>
      </c>
      <c r="B159" s="43" t="s">
        <v>10</v>
      </c>
      <c r="C159" s="43" t="str">
        <f t="shared" si="3"/>
        <v>24Семейная ипотека12</v>
      </c>
      <c r="D159" s="46">
        <v>12</v>
      </c>
      <c r="E159" s="78"/>
      <c r="F159" s="78"/>
      <c r="G159" s="78"/>
      <c r="H159" s="78"/>
      <c r="I159" s="78"/>
      <c r="J159" s="78"/>
      <c r="K159" s="78"/>
      <c r="L159" s="17"/>
      <c r="M159" s="17"/>
      <c r="N159" s="17"/>
      <c r="O159" s="17"/>
      <c r="P159" s="17"/>
      <c r="Q159" s="17"/>
      <c r="R159" s="17"/>
      <c r="S159" s="17"/>
      <c r="T159" s="24"/>
      <c r="U159" s="24"/>
      <c r="V159" s="24"/>
      <c r="W159" s="24"/>
      <c r="Y159" s="51"/>
      <c r="Z159" s="51"/>
      <c r="AA159" s="51"/>
      <c r="AB159" s="51"/>
      <c r="AC159" s="51"/>
      <c r="AD159" s="51"/>
      <c r="AE159" s="51"/>
      <c r="AF159" s="16"/>
      <c r="AG159" s="16"/>
      <c r="AH159" s="16"/>
      <c r="AI159" s="16"/>
      <c r="AJ159" s="16"/>
      <c r="AK159" s="16"/>
      <c r="AL159" s="16"/>
      <c r="AM159" s="16"/>
      <c r="AN159" s="16"/>
    </row>
    <row r="160" spans="1:54" s="43" customFormat="1" x14ac:dyDescent="0.25">
      <c r="A160" s="81">
        <v>24</v>
      </c>
      <c r="B160" s="43" t="s">
        <v>10</v>
      </c>
      <c r="C160" s="43" t="str">
        <f t="shared" si="3"/>
        <v>24Семейная ипотека24</v>
      </c>
      <c r="D160" s="46">
        <v>24</v>
      </c>
      <c r="E160" s="78"/>
      <c r="F160" s="78"/>
      <c r="G160" s="78"/>
      <c r="H160" s="78"/>
      <c r="I160" s="78"/>
      <c r="J160" s="78"/>
      <c r="K160" s="78"/>
      <c r="L160" s="17"/>
      <c r="M160" s="17"/>
      <c r="N160" s="17"/>
      <c r="O160" s="17"/>
      <c r="P160" s="17"/>
      <c r="Q160" s="17"/>
      <c r="R160" s="17"/>
      <c r="S160" s="17"/>
      <c r="T160" s="24"/>
      <c r="U160" s="24"/>
      <c r="V160" s="24"/>
      <c r="W160" s="24"/>
      <c r="Y160" s="51"/>
      <c r="Z160" s="51"/>
      <c r="AA160" s="51"/>
      <c r="AB160" s="51"/>
      <c r="AC160" s="51"/>
      <c r="AD160" s="51"/>
      <c r="AE160" s="51"/>
      <c r="AF160" s="16"/>
      <c r="AG160" s="16"/>
      <c r="AH160" s="16"/>
      <c r="AI160" s="16"/>
      <c r="AJ160" s="16"/>
      <c r="AK160" s="16"/>
      <c r="AL160" s="16"/>
      <c r="AM160" s="16"/>
      <c r="AN160" s="16"/>
    </row>
    <row r="161" spans="1:54" s="43" customFormat="1" x14ac:dyDescent="0.25">
      <c r="A161" s="81">
        <v>24</v>
      </c>
      <c r="B161" s="43" t="s">
        <v>10</v>
      </c>
      <c r="C161" s="43" t="str">
        <f t="shared" si="3"/>
        <v>24Семейная ипотека36</v>
      </c>
      <c r="D161" s="46">
        <v>36</v>
      </c>
      <c r="E161" s="78"/>
      <c r="F161" s="78"/>
      <c r="G161" s="78"/>
      <c r="H161" s="78"/>
      <c r="I161" s="78"/>
      <c r="J161" s="78"/>
      <c r="K161" s="78"/>
      <c r="L161" s="17"/>
      <c r="M161" s="17"/>
      <c r="N161" s="17"/>
      <c r="O161" s="17"/>
      <c r="P161" s="17"/>
      <c r="Q161" s="17"/>
      <c r="R161" s="17"/>
      <c r="S161" s="17"/>
      <c r="T161" s="24"/>
      <c r="U161" s="24"/>
      <c r="V161" s="24"/>
      <c r="W161" s="24"/>
      <c r="Y161" s="51"/>
      <c r="Z161" s="51"/>
      <c r="AA161" s="51"/>
      <c r="AB161" s="51"/>
      <c r="AC161" s="51"/>
      <c r="AD161" s="51"/>
      <c r="AE161" s="51"/>
      <c r="AF161" s="16"/>
      <c r="AG161" s="16"/>
      <c r="AH161" s="16"/>
      <c r="AI161" s="16"/>
      <c r="AJ161" s="16"/>
      <c r="AK161" s="16"/>
      <c r="AL161" s="16"/>
      <c r="AM161" s="16"/>
      <c r="AN161" s="16"/>
    </row>
    <row r="162" spans="1:54" s="43" customFormat="1" x14ac:dyDescent="0.25">
      <c r="A162" s="81">
        <v>24</v>
      </c>
      <c r="B162" s="43" t="s">
        <v>10</v>
      </c>
      <c r="C162" s="43" t="str">
        <f t="shared" si="3"/>
        <v>24Семейная ипотека48</v>
      </c>
      <c r="D162" s="46">
        <v>48</v>
      </c>
      <c r="E162" s="78"/>
      <c r="F162" s="78"/>
      <c r="G162" s="78"/>
      <c r="H162" s="78"/>
      <c r="I162" s="78"/>
      <c r="J162" s="78"/>
      <c r="K162" s="78"/>
      <c r="L162" s="17"/>
      <c r="M162" s="17"/>
      <c r="N162" s="17"/>
      <c r="O162" s="17"/>
      <c r="P162" s="17"/>
      <c r="Q162" s="17"/>
      <c r="R162" s="17"/>
      <c r="S162" s="17"/>
      <c r="T162" s="24"/>
      <c r="U162" s="24"/>
      <c r="V162" s="24"/>
      <c r="W162" s="24"/>
      <c r="Y162" s="51"/>
      <c r="Z162" s="51"/>
      <c r="AA162" s="51"/>
      <c r="AB162" s="51"/>
      <c r="AC162" s="51"/>
      <c r="AD162" s="51"/>
      <c r="AE162" s="51"/>
      <c r="AF162" s="16"/>
      <c r="AG162" s="16"/>
      <c r="AH162" s="16"/>
      <c r="AI162" s="16"/>
      <c r="AJ162" s="16"/>
      <c r="AK162" s="16"/>
      <c r="AL162" s="16"/>
      <c r="AM162" s="16"/>
      <c r="AN162" s="16"/>
    </row>
    <row r="163" spans="1:54" s="43" customFormat="1" x14ac:dyDescent="0.25">
      <c r="A163" s="81">
        <v>24</v>
      </c>
      <c r="B163" s="43" t="s">
        <v>10</v>
      </c>
      <c r="C163" s="43" t="str">
        <f t="shared" si="3"/>
        <v>24Семейная ипотека60</v>
      </c>
      <c r="D163" s="46">
        <v>60</v>
      </c>
      <c r="E163" s="78"/>
      <c r="F163" s="78"/>
      <c r="G163" s="78"/>
      <c r="H163" s="78"/>
      <c r="I163" s="78"/>
      <c r="J163" s="78"/>
      <c r="K163" s="78"/>
      <c r="L163" s="17"/>
      <c r="M163" s="17"/>
      <c r="N163" s="17"/>
      <c r="O163" s="17"/>
      <c r="P163" s="17"/>
      <c r="Q163" s="17"/>
      <c r="R163" s="17"/>
      <c r="S163" s="17"/>
      <c r="T163" s="24"/>
      <c r="U163" s="24"/>
      <c r="V163" s="24"/>
      <c r="W163" s="24"/>
      <c r="Y163" s="51"/>
      <c r="Z163" s="51"/>
      <c r="AA163" s="51"/>
      <c r="AB163" s="51"/>
      <c r="AC163" s="51"/>
      <c r="AD163" s="51"/>
      <c r="AE163" s="51"/>
      <c r="AF163" s="16"/>
      <c r="AG163" s="16"/>
      <c r="AH163" s="16"/>
      <c r="AI163" s="16"/>
      <c r="AJ163" s="16"/>
      <c r="AK163" s="16"/>
      <c r="AL163" s="16"/>
      <c r="AM163" s="16"/>
      <c r="AN163" s="16"/>
    </row>
    <row r="164" spans="1:54" s="43" customFormat="1" x14ac:dyDescent="0.25">
      <c r="A164" s="81">
        <v>24</v>
      </c>
      <c r="B164" s="43" t="s">
        <v>47</v>
      </c>
      <c r="C164" s="43" t="str">
        <f t="shared" si="3"/>
        <v>24Семейная ипотека ДФО6</v>
      </c>
      <c r="D164" s="46">
        <v>6</v>
      </c>
      <c r="E164" s="78"/>
      <c r="F164" s="78"/>
      <c r="G164" s="78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24"/>
      <c r="U164" s="24"/>
      <c r="V164" s="24"/>
      <c r="W164" s="24"/>
      <c r="Y164" s="51"/>
      <c r="Z164" s="51"/>
      <c r="AA164" s="51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</row>
    <row r="165" spans="1:54" s="43" customFormat="1" x14ac:dyDescent="0.25">
      <c r="A165" s="81">
        <v>24</v>
      </c>
      <c r="B165" s="43" t="s">
        <v>47</v>
      </c>
      <c r="C165" s="43" t="str">
        <f t="shared" si="3"/>
        <v>24Семейная ипотека ДФО12</v>
      </c>
      <c r="D165" s="46">
        <v>12</v>
      </c>
      <c r="E165" s="78"/>
      <c r="F165" s="78"/>
      <c r="G165" s="78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24"/>
      <c r="U165" s="24"/>
      <c r="V165" s="24"/>
      <c r="W165" s="24"/>
      <c r="Y165" s="51"/>
      <c r="Z165" s="51"/>
      <c r="AA165" s="51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</row>
    <row r="166" spans="1:54" s="43" customFormat="1" x14ac:dyDescent="0.25">
      <c r="A166" s="81">
        <v>24</v>
      </c>
      <c r="B166" s="43" t="s">
        <v>47</v>
      </c>
      <c r="C166" s="43" t="str">
        <f t="shared" si="3"/>
        <v>24Семейная ипотека ДФО24</v>
      </c>
      <c r="D166" s="46">
        <v>24</v>
      </c>
      <c r="E166" s="78"/>
      <c r="F166" s="78"/>
      <c r="G166" s="78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24"/>
      <c r="U166" s="24"/>
      <c r="V166" s="24"/>
      <c r="W166" s="24"/>
      <c r="Y166" s="51"/>
      <c r="Z166" s="51"/>
      <c r="AA166" s="51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</row>
    <row r="167" spans="1:54" s="43" customFormat="1" x14ac:dyDescent="0.25">
      <c r="A167" s="81">
        <v>24</v>
      </c>
      <c r="B167" s="43" t="s">
        <v>47</v>
      </c>
      <c r="C167" s="43" t="str">
        <f t="shared" si="3"/>
        <v>24Семейная ипотека ДФО36</v>
      </c>
      <c r="D167" s="46">
        <v>36</v>
      </c>
      <c r="E167" s="78"/>
      <c r="F167" s="78"/>
      <c r="G167" s="78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24"/>
      <c r="U167" s="24"/>
      <c r="V167" s="24"/>
      <c r="W167" s="24"/>
      <c r="Y167" s="51"/>
      <c r="Z167" s="51"/>
      <c r="AA167" s="51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</row>
    <row r="168" spans="1:54" s="43" customFormat="1" x14ac:dyDescent="0.25">
      <c r="A168" s="81">
        <v>24</v>
      </c>
      <c r="B168" s="43" t="s">
        <v>47</v>
      </c>
      <c r="C168" s="43" t="str">
        <f t="shared" si="3"/>
        <v>24Семейная ипотека ДФО48</v>
      </c>
      <c r="D168" s="46">
        <v>48</v>
      </c>
      <c r="E168" s="78"/>
      <c r="F168" s="78"/>
      <c r="G168" s="78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24"/>
      <c r="U168" s="24"/>
      <c r="V168" s="24"/>
      <c r="W168" s="24"/>
      <c r="Y168" s="51"/>
      <c r="Z168" s="51"/>
      <c r="AA168" s="51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</row>
    <row r="169" spans="1:54" s="43" customFormat="1" x14ac:dyDescent="0.25">
      <c r="A169" s="81">
        <v>24</v>
      </c>
      <c r="B169" s="43" t="s">
        <v>47</v>
      </c>
      <c r="C169" s="43" t="str">
        <f t="shared" si="3"/>
        <v>24Семейная ипотека ДФО60</v>
      </c>
      <c r="D169" s="46">
        <v>60</v>
      </c>
      <c r="E169" s="78"/>
      <c r="F169" s="78"/>
      <c r="G169" s="78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24"/>
      <c r="U169" s="24"/>
      <c r="V169" s="24"/>
      <c r="W169" s="24"/>
      <c r="Y169" s="51"/>
      <c r="Z169" s="51"/>
      <c r="AA169" s="51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</row>
    <row r="170" spans="1:54" s="43" customFormat="1" x14ac:dyDescent="0.25">
      <c r="A170" s="81">
        <v>24</v>
      </c>
      <c r="B170" s="43" t="s">
        <v>38</v>
      </c>
      <c r="C170" s="43" t="str">
        <f t="shared" si="3"/>
        <v>24Ипотека для IT-специалистов6</v>
      </c>
      <c r="D170" s="46">
        <v>6</v>
      </c>
      <c r="E170" s="78"/>
      <c r="F170" s="78"/>
      <c r="G170" s="78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24"/>
      <c r="U170" s="24"/>
      <c r="V170" s="24"/>
      <c r="W170" s="24"/>
      <c r="Y170" s="51"/>
      <c r="Z170" s="51"/>
      <c r="AA170" s="51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</row>
    <row r="171" spans="1:54" s="43" customFormat="1" x14ac:dyDescent="0.25">
      <c r="A171" s="81">
        <v>24</v>
      </c>
      <c r="B171" s="43" t="s">
        <v>38</v>
      </c>
      <c r="C171" s="43" t="str">
        <f t="shared" si="3"/>
        <v>24Ипотека для IT-специалистов12</v>
      </c>
      <c r="D171" s="46">
        <v>12</v>
      </c>
      <c r="E171" s="78"/>
      <c r="F171" s="78"/>
      <c r="G171" s="78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24"/>
      <c r="U171" s="24"/>
      <c r="V171" s="24"/>
      <c r="W171" s="24"/>
      <c r="Y171" s="51"/>
      <c r="Z171" s="51"/>
      <c r="AA171" s="51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</row>
    <row r="172" spans="1:54" s="43" customFormat="1" x14ac:dyDescent="0.25">
      <c r="A172" s="81">
        <v>24</v>
      </c>
      <c r="B172" s="43" t="s">
        <v>38</v>
      </c>
      <c r="C172" s="43" t="str">
        <f t="shared" si="3"/>
        <v>24Ипотека для IT-специалистов24</v>
      </c>
      <c r="D172" s="46">
        <v>24</v>
      </c>
      <c r="E172" s="78"/>
      <c r="F172" s="78"/>
      <c r="G172" s="78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24"/>
      <c r="U172" s="24"/>
      <c r="V172" s="24"/>
      <c r="W172" s="24"/>
      <c r="Y172" s="51"/>
      <c r="Z172" s="51"/>
      <c r="AA172" s="51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</row>
    <row r="173" spans="1:54" s="43" customFormat="1" x14ac:dyDescent="0.25">
      <c r="A173" s="81">
        <v>24</v>
      </c>
      <c r="B173" s="43" t="s">
        <v>38</v>
      </c>
      <c r="C173" s="43" t="str">
        <f t="shared" si="3"/>
        <v>24Ипотека для IT-специалистов36</v>
      </c>
      <c r="D173" s="46">
        <v>36</v>
      </c>
      <c r="E173" s="78"/>
      <c r="F173" s="78"/>
      <c r="G173" s="78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24"/>
      <c r="U173" s="24"/>
      <c r="V173" s="24"/>
      <c r="W173" s="24"/>
      <c r="Y173" s="51"/>
      <c r="Z173" s="51"/>
      <c r="AA173" s="51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</row>
    <row r="174" spans="1:54" s="43" customFormat="1" x14ac:dyDescent="0.25">
      <c r="A174" s="81">
        <v>24</v>
      </c>
      <c r="B174" s="43" t="s">
        <v>38</v>
      </c>
      <c r="C174" s="43" t="str">
        <f t="shared" si="3"/>
        <v>24Ипотека для IT-специалистов48</v>
      </c>
      <c r="D174" s="46">
        <v>48</v>
      </c>
      <c r="E174" s="78"/>
      <c r="F174" s="78"/>
      <c r="G174" s="78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24"/>
      <c r="U174" s="24"/>
      <c r="V174" s="24"/>
      <c r="W174" s="24"/>
      <c r="Y174" s="51"/>
      <c r="Z174" s="51"/>
      <c r="AA174" s="51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</row>
    <row r="175" spans="1:54" s="43" customFormat="1" ht="14.25" customHeight="1" x14ac:dyDescent="0.25">
      <c r="A175" s="81">
        <v>24</v>
      </c>
      <c r="B175" s="43" t="s">
        <v>38</v>
      </c>
      <c r="C175" s="43" t="str">
        <f t="shared" si="3"/>
        <v>24Ипотека для IT-специалистов60</v>
      </c>
      <c r="D175" s="46">
        <v>60</v>
      </c>
      <c r="E175" s="78"/>
      <c r="F175" s="78"/>
      <c r="G175" s="78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24"/>
      <c r="U175" s="24"/>
      <c r="V175" s="24"/>
      <c r="W175" s="24"/>
      <c r="Y175" s="51"/>
      <c r="Z175" s="51"/>
      <c r="AA175" s="51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</row>
    <row r="176" spans="1:54" s="43" customFormat="1" x14ac:dyDescent="0.25">
      <c r="A176" s="81"/>
      <c r="D176" s="45">
        <v>1.24</v>
      </c>
      <c r="E176" s="47">
        <v>0.5</v>
      </c>
      <c r="F176" s="47">
        <v>1.5</v>
      </c>
      <c r="G176" s="47">
        <v>2</v>
      </c>
      <c r="H176" s="47">
        <v>2.5</v>
      </c>
      <c r="I176" s="47">
        <v>3</v>
      </c>
      <c r="J176" s="47">
        <v>3.5</v>
      </c>
      <c r="K176" s="47">
        <v>4</v>
      </c>
      <c r="L176" s="47">
        <v>4.5</v>
      </c>
      <c r="M176" s="47">
        <v>5</v>
      </c>
      <c r="N176" s="47">
        <v>5.5</v>
      </c>
      <c r="O176" s="47">
        <v>6</v>
      </c>
      <c r="P176" s="47">
        <v>6.5</v>
      </c>
      <c r="Q176" s="47">
        <v>7</v>
      </c>
      <c r="R176" s="47">
        <v>7.5</v>
      </c>
      <c r="S176" s="47">
        <v>8</v>
      </c>
      <c r="T176" s="47">
        <v>8.5</v>
      </c>
      <c r="U176" s="47">
        <v>9</v>
      </c>
      <c r="V176" s="47">
        <v>9.5</v>
      </c>
      <c r="W176" s="47">
        <v>10</v>
      </c>
      <c r="Y176" s="47">
        <v>0.5</v>
      </c>
      <c r="Z176" s="47">
        <v>1</v>
      </c>
      <c r="AA176" s="47">
        <v>1.5</v>
      </c>
      <c r="AB176" s="47">
        <v>2</v>
      </c>
      <c r="AC176" s="47">
        <v>2.5</v>
      </c>
      <c r="AD176" s="47">
        <v>3</v>
      </c>
      <c r="AE176" s="47">
        <v>3.5</v>
      </c>
      <c r="AF176" s="47">
        <v>4</v>
      </c>
      <c r="AG176" s="47">
        <v>4.5</v>
      </c>
      <c r="AH176" s="47">
        <v>5</v>
      </c>
      <c r="AI176" s="47">
        <v>5.5</v>
      </c>
      <c r="AJ176" s="47">
        <v>6</v>
      </c>
      <c r="AK176" s="47">
        <v>6.5</v>
      </c>
      <c r="AL176" s="47">
        <v>7</v>
      </c>
      <c r="AM176" s="47">
        <v>7.5</v>
      </c>
      <c r="AN176" s="47">
        <v>8</v>
      </c>
      <c r="AO176" s="47">
        <v>8.5</v>
      </c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5" s="52" customFormat="1" x14ac:dyDescent="0.25">
      <c r="A177" s="81">
        <v>24</v>
      </c>
      <c r="B177" s="52" t="s">
        <v>5</v>
      </c>
      <c r="C177" s="43" t="str">
        <f t="shared" si="3"/>
        <v>24Новостройка6</v>
      </c>
      <c r="D177" s="46">
        <v>6</v>
      </c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80"/>
    </row>
    <row r="178" spans="1:55" s="52" customFormat="1" x14ac:dyDescent="0.25">
      <c r="A178" s="81">
        <v>24</v>
      </c>
      <c r="B178" s="52" t="s">
        <v>5</v>
      </c>
      <c r="C178" s="43" t="str">
        <f t="shared" si="3"/>
        <v>24Новостройка12</v>
      </c>
      <c r="D178" s="46">
        <v>12</v>
      </c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80"/>
    </row>
    <row r="179" spans="1:55" s="52" customFormat="1" x14ac:dyDescent="0.25">
      <c r="A179" s="81">
        <v>24</v>
      </c>
      <c r="B179" s="52" t="s">
        <v>5</v>
      </c>
      <c r="C179" s="43" t="str">
        <f t="shared" si="3"/>
        <v>24Новостройка24</v>
      </c>
      <c r="D179" s="46">
        <v>24</v>
      </c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48"/>
      <c r="Q179" s="48"/>
      <c r="R179" s="48"/>
      <c r="S179" s="48"/>
      <c r="T179" s="48"/>
      <c r="U179" s="48"/>
      <c r="V179" s="48"/>
      <c r="W179" s="48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80"/>
    </row>
    <row r="180" spans="1:55" s="52" customFormat="1" x14ac:dyDescent="0.25">
      <c r="A180" s="81">
        <v>24</v>
      </c>
      <c r="B180" s="52" t="s">
        <v>5</v>
      </c>
      <c r="C180" s="43" t="str">
        <f t="shared" si="3"/>
        <v>24Новостройка36</v>
      </c>
      <c r="D180" s="46">
        <v>36</v>
      </c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50"/>
      <c r="P180" s="48"/>
      <c r="Q180" s="48"/>
      <c r="R180" s="48"/>
      <c r="S180" s="48"/>
      <c r="T180" s="48"/>
      <c r="U180" s="48"/>
      <c r="V180" s="48"/>
      <c r="W180" s="48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80"/>
    </row>
    <row r="181" spans="1:55" s="52" customFormat="1" x14ac:dyDescent="0.25">
      <c r="A181" s="81">
        <v>24</v>
      </c>
      <c r="B181" s="52" t="s">
        <v>5</v>
      </c>
      <c r="C181" s="43" t="str">
        <f t="shared" si="3"/>
        <v>24Новостройка48</v>
      </c>
      <c r="D181" s="46">
        <v>48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80"/>
    </row>
    <row r="182" spans="1:55" s="52" customFormat="1" x14ac:dyDescent="0.25">
      <c r="A182" s="81">
        <v>24</v>
      </c>
      <c r="B182" s="52" t="s">
        <v>5</v>
      </c>
      <c r="C182" s="43" t="str">
        <f t="shared" si="3"/>
        <v>24Новостройка60</v>
      </c>
      <c r="D182" s="46">
        <v>60</v>
      </c>
      <c r="E182" s="78"/>
      <c r="F182" s="78"/>
      <c r="G182" s="78"/>
      <c r="H182" s="78"/>
      <c r="I182" s="78"/>
      <c r="J182" s="78"/>
      <c r="K182" s="78"/>
      <c r="L182" s="7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Y182" s="50"/>
      <c r="Z182" s="50"/>
      <c r="AA182" s="50"/>
      <c r="AB182" s="50"/>
      <c r="AC182" s="50"/>
      <c r="AD182" s="50"/>
      <c r="AE182" s="50"/>
      <c r="AF182" s="50"/>
      <c r="AG182" s="50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80"/>
    </row>
    <row r="183" spans="1:55" s="43" customFormat="1" x14ac:dyDescent="0.25">
      <c r="E183" s="24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24"/>
      <c r="V183" s="24"/>
      <c r="W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</row>
    <row r="184" spans="1:55" s="43" customFormat="1" x14ac:dyDescent="0.25">
      <c r="E184" s="24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24"/>
      <c r="V184" s="24"/>
      <c r="W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</row>
    <row r="185" spans="1:55" s="43" customFormat="1" x14ac:dyDescent="0.25"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</row>
    <row r="186" spans="1:55" s="43" customFormat="1" x14ac:dyDescent="0.25"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</row>
    <row r="187" spans="1:55" s="43" customFormat="1" x14ac:dyDescent="0.25"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</row>
    <row r="188" spans="1:55" s="43" customFormat="1" x14ac:dyDescent="0.25"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</row>
    <row r="189" spans="1:55" s="43" customFormat="1" x14ac:dyDescent="0.25"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</row>
    <row r="190" spans="1:55" s="43" customFormat="1" x14ac:dyDescent="0.25"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</row>
    <row r="191" spans="1:55" s="43" customFormat="1" x14ac:dyDescent="0.25"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</row>
    <row r="192" spans="1:55" s="43" customFormat="1" x14ac:dyDescent="0.25"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</row>
    <row r="193" spans="6:55" s="43" customFormat="1" x14ac:dyDescent="0.25"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</row>
    <row r="194" spans="6:55" s="43" customFormat="1" x14ac:dyDescent="0.25"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</row>
    <row r="195" spans="6:55" s="43" customFormat="1" x14ac:dyDescent="0.25"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</row>
    <row r="196" spans="6:55" s="43" customFormat="1" x14ac:dyDescent="0.25"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</row>
    <row r="197" spans="6:55" s="43" customFormat="1" x14ac:dyDescent="0.25"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</row>
    <row r="198" spans="6:55" s="43" customFormat="1" x14ac:dyDescent="0.25"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</row>
    <row r="199" spans="6:55" s="43" customFormat="1" x14ac:dyDescent="0.25"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</row>
    <row r="200" spans="6:55" s="43" customFormat="1" x14ac:dyDescent="0.25"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</row>
    <row r="201" spans="6:55" s="43" customFormat="1" x14ac:dyDescent="0.25"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</row>
    <row r="202" spans="6:55" s="43" customFormat="1" x14ac:dyDescent="0.25"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</row>
    <row r="203" spans="6:55" s="43" customFormat="1" x14ac:dyDescent="0.25"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</row>
    <row r="204" spans="6:55" s="43" customFormat="1" x14ac:dyDescent="0.25"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</row>
    <row r="205" spans="6:55" s="43" customFormat="1" x14ac:dyDescent="0.25"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</row>
    <row r="206" spans="6:55" s="43" customFormat="1" x14ac:dyDescent="0.25"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</row>
    <row r="207" spans="6:55" s="43" customFormat="1" x14ac:dyDescent="0.25"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</row>
    <row r="208" spans="6:55" s="43" customFormat="1" x14ac:dyDescent="0.25"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</row>
    <row r="209" spans="6:20" s="43" customFormat="1" x14ac:dyDescent="0.25"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</row>
    <row r="210" spans="6:20" s="43" customFormat="1" x14ac:dyDescent="0.25"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</row>
    <row r="211" spans="6:20" s="43" customFormat="1" x14ac:dyDescent="0.25"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</row>
    <row r="212" spans="6:20" s="43" customFormat="1" x14ac:dyDescent="0.25"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</row>
    <row r="213" spans="6:20" s="43" customFormat="1" x14ac:dyDescent="0.25"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</row>
    <row r="214" spans="6:20" s="43" customFormat="1" x14ac:dyDescent="0.25"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</row>
    <row r="215" spans="6:20" s="43" customFormat="1" x14ac:dyDescent="0.25"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</row>
    <row r="216" spans="6:20" s="43" customFormat="1" x14ac:dyDescent="0.25"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</row>
    <row r="217" spans="6:20" s="43" customFormat="1" x14ac:dyDescent="0.25"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</row>
    <row r="218" spans="6:20" s="43" customFormat="1" x14ac:dyDescent="0.25"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</row>
    <row r="219" spans="6:20" s="43" customFormat="1" x14ac:dyDescent="0.25"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</row>
    <row r="220" spans="6:20" x14ac:dyDescent="0.25"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6:20" x14ac:dyDescent="0.25"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6:20" x14ac:dyDescent="0.25"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6:20" x14ac:dyDescent="0.25"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6:20" x14ac:dyDescent="0.25"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6:20" x14ac:dyDescent="0.25"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6:20" x14ac:dyDescent="0.25"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6:20" x14ac:dyDescent="0.25"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6:20" x14ac:dyDescent="0.25"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6:20" x14ac:dyDescent="0.25"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6:20" x14ac:dyDescent="0.25"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6:20" x14ac:dyDescent="0.25"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6:20" x14ac:dyDescent="0.25"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6:20" x14ac:dyDescent="0.25"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6:20" x14ac:dyDescent="0.25"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</sheetData>
  <sheetProtection algorithmName="SHA-512" hashValue="mtJgO1mU0fxmto83loHJ5tsZ1qdXiD5qddLL3a1LJPuiuiMlZXss8oipBwhf6kjpTa2minjJszrhDbUqORdeDw==" saltValue="3uj5mJ55RE6udoG1FcTnAw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R368"/>
  <sheetViews>
    <sheetView showGridLines="0" zoomScaleNormal="100" workbookViewId="0">
      <selection activeCell="J1" sqref="J1"/>
    </sheetView>
  </sheetViews>
  <sheetFormatPr defaultColWidth="9.140625" defaultRowHeight="15" x14ac:dyDescent="0.25"/>
  <cols>
    <col min="1" max="1" width="4.42578125" customWidth="1"/>
    <col min="2" max="2" width="12.28515625" style="119" customWidth="1"/>
    <col min="3" max="3" width="17.28515625" style="119" customWidth="1"/>
    <col min="4" max="4" width="18.5703125" style="119" customWidth="1"/>
    <col min="5" max="5" width="18.28515625" style="119" bestFit="1" customWidth="1"/>
    <col min="6" max="6" width="18.7109375" style="119" bestFit="1" customWidth="1"/>
    <col min="7" max="7" width="4.5703125" customWidth="1"/>
    <col min="8" max="8" width="21.140625" style="1" customWidth="1"/>
    <col min="9" max="9" width="46" style="1" customWidth="1"/>
    <col min="10" max="10" width="41.140625" style="1" customWidth="1"/>
    <col min="11" max="11" width="42.140625" style="215" customWidth="1"/>
    <col min="12" max="12" width="5.5703125" style="181" customWidth="1"/>
    <col min="13" max="13" width="6.5703125" style="181" customWidth="1"/>
    <col min="14" max="14" width="7.7109375" style="130" customWidth="1"/>
    <col min="15" max="15" width="10.28515625" style="131" customWidth="1"/>
    <col min="16" max="16" width="10.7109375" style="13" customWidth="1"/>
    <col min="17" max="17" width="9.140625" style="181"/>
    <col min="18" max="18" width="9.140625" style="103"/>
    <col min="19" max="16384" width="9.140625" style="2"/>
  </cols>
  <sheetData>
    <row r="1" spans="2:16" ht="55.5" customHeight="1" x14ac:dyDescent="0.25">
      <c r="B1" s="148"/>
      <c r="C1" s="148"/>
      <c r="D1" s="148"/>
      <c r="E1" s="148"/>
      <c r="F1" s="148"/>
      <c r="I1" s="159"/>
      <c r="K1" s="208"/>
    </row>
    <row r="2" spans="2:16" ht="15" customHeight="1" x14ac:dyDescent="0.25">
      <c r="B2" s="222" t="s">
        <v>61</v>
      </c>
      <c r="C2" s="222"/>
      <c r="D2" s="222"/>
      <c r="E2" s="148"/>
      <c r="F2" s="148"/>
      <c r="K2" s="209"/>
      <c r="L2" s="182"/>
      <c r="M2" s="182"/>
    </row>
    <row r="3" spans="2:16" ht="15" customHeight="1" x14ac:dyDescent="0.25">
      <c r="B3" s="165"/>
      <c r="C3" s="148"/>
      <c r="D3" s="148"/>
      <c r="E3" s="148"/>
      <c r="F3" s="148"/>
      <c r="H3" s="163"/>
      <c r="I3" s="163"/>
      <c r="J3" s="164"/>
      <c r="K3" s="210"/>
      <c r="L3" s="182"/>
      <c r="M3" s="182"/>
    </row>
    <row r="4" spans="2:16" ht="15" customHeight="1" x14ac:dyDescent="0.25">
      <c r="C4" s="166"/>
      <c r="D4" s="148"/>
      <c r="E4" s="148"/>
      <c r="F4" s="148"/>
      <c r="H4" s="61"/>
      <c r="I4" s="60"/>
      <c r="K4" s="210"/>
      <c r="L4" s="182"/>
      <c r="M4" s="182"/>
    </row>
    <row r="5" spans="2:16" x14ac:dyDescent="0.25">
      <c r="B5" s="120" t="s">
        <v>90</v>
      </c>
      <c r="C5" s="120" t="s">
        <v>21</v>
      </c>
      <c r="D5" s="120" t="s">
        <v>91</v>
      </c>
      <c r="E5" s="120" t="s">
        <v>93</v>
      </c>
      <c r="F5" s="120" t="s">
        <v>93</v>
      </c>
      <c r="H5" s="132" t="s">
        <v>85</v>
      </c>
      <c r="I5" s="99"/>
      <c r="J5" s="100"/>
      <c r="K5" s="211"/>
      <c r="L5" s="182"/>
      <c r="M5" s="182"/>
      <c r="N5" s="133" t="s">
        <v>74</v>
      </c>
      <c r="O5" s="134">
        <f ca="1">IF(J30="полный срок",J34,J33)</f>
        <v>0</v>
      </c>
    </row>
    <row r="6" spans="2:16" x14ac:dyDescent="0.25">
      <c r="B6" s="120"/>
      <c r="C6" s="120"/>
      <c r="D6" s="120" t="s">
        <v>92</v>
      </c>
      <c r="E6" s="120" t="s">
        <v>94</v>
      </c>
      <c r="F6" s="120" t="s">
        <v>15</v>
      </c>
      <c r="H6" s="219"/>
      <c r="I6" s="220"/>
      <c r="J6" s="221"/>
      <c r="K6" s="211"/>
      <c r="N6" s="135" t="s">
        <v>68</v>
      </c>
      <c r="O6" s="136" t="b">
        <f>IF(J30="полный срок",TRUE,FALSE)</f>
        <v>1</v>
      </c>
    </row>
    <row r="7" spans="2:16" x14ac:dyDescent="0.25">
      <c r="B7" s="121">
        <v>0</v>
      </c>
      <c r="C7" s="122">
        <f>J13</f>
        <v>3450000</v>
      </c>
      <c r="D7" s="123"/>
      <c r="E7" s="123">
        <v>0</v>
      </c>
      <c r="F7" s="124"/>
      <c r="H7" s="94" t="s">
        <v>11</v>
      </c>
      <c r="I7" s="95"/>
      <c r="J7" s="195" t="s">
        <v>5</v>
      </c>
      <c r="K7" s="212"/>
      <c r="N7" s="135" t="s">
        <v>73</v>
      </c>
      <c r="O7" s="82" t="b">
        <f>OR($J$7="Новостройка с господдержкой 2020",$J$7="Семейная ипотека",$J$7="Семейная ипотека ДФО",$J$7="Ипотека для IT-специалистов",$J$7="Дальневосточная ипотека",$J$7="Рефинансирование по Семейной ипотеке")</f>
        <v>0</v>
      </c>
    </row>
    <row r="8" spans="2:16" x14ac:dyDescent="0.25">
      <c r="B8" s="125">
        <v>1</v>
      </c>
      <c r="C8" s="126">
        <f t="shared" ref="C8:C20" ca="1" si="0">C7-E8</f>
        <v>3449723.6167053189</v>
      </c>
      <c r="D8" s="126">
        <f ca="1">E8+F8</f>
        <v>50560.133294681087</v>
      </c>
      <c r="E8" s="126">
        <f t="shared" ref="E8:E71" ca="1" si="1">-IFERROR(IF(OR(B8&lt;=$J$30,$J$30=0),PPMT($J$35/12,B8,$J$12*12,$J$13),PPMT(($O$5+$J$35)/12,B8-$J$30,$J$12*12-$J$30,$J$13+CUMPRINC($J$35/12,$J$12*12,$J$13,1,$J$30,0))),0)</f>
        <v>276.38329468108532</v>
      </c>
      <c r="F8" s="127">
        <f t="shared" ref="F8:F71" ca="1" si="2">-IF(AND($O$8,B8&lt;=$J$22),IF($H$22="Без процентов",0,0.5),1)*IFERROR(IF(OR(B8&lt;=$J$30,$J$30=0),IPMT($J$35/12,B8,$J$12*12,$J$13),IPMT(($O$5+$J$35)/12,B8-$J$30,$J$12*12-$J$30,$J$13+CUMPRINC($J$35/12,$J$12*12,$J$13,1,$J$30,0),0,0)),0)</f>
        <v>50283.75</v>
      </c>
      <c r="H8" s="94" t="s">
        <v>9</v>
      </c>
      <c r="I8" s="95"/>
      <c r="J8" s="195" t="s">
        <v>14</v>
      </c>
      <c r="K8" s="183" t="str">
        <f ca="1">IFERROR(IF((J9-J10)&gt;OFFSET(тарифы!$A$1,Калькулятор!$O$20+Калькулятор!$O$21+$O$22-2,10,Калькулятор!$O$23,1),CONCATENATE("Макc сумма ",TEXT(OFFSET(тарифы!$A$1,Калькулятор!$O$20+Калькулятор!$O$21+$O$22-2,10,Калькулятор!$O$23,1)/1000000,"0")," млн"),IF((J9-J10)&lt;OFFSET(тарифы!$A$1,Калькулятор!$O$20+Калькулятор!$O$21+$O$22-2,11,Калькулятор!$O$23,1),CONCATENATE("Мин сумма ",TEXT(OFFSET(тарифы!$A$1,Калькулятор!$O$20+Калькулятор!$O$21+$O$22-2,11,Калькулятор!$O$23,1)/1000,"0")," тыс"),"")),"Неверный тип залога")</f>
        <v/>
      </c>
      <c r="N8" s="135" t="s">
        <v>98</v>
      </c>
      <c r="O8" s="82" t="b">
        <f>OR($J$7="Новостройка",$J$7="Новостройка с господдержкой 2020",$J$7="Семейная ипотека",$J$7="Семейная ипотека ДФО",$J$7="Ипотека для IT-специалистов")</f>
        <v>1</v>
      </c>
    </row>
    <row r="9" spans="2:16" ht="14.25" customHeight="1" x14ac:dyDescent="0.25">
      <c r="B9" s="125">
        <v>3</v>
      </c>
      <c r="C9" s="126">
        <f ca="1">C10-E9</f>
        <v>3449158.7065441208</v>
      </c>
      <c r="D9" s="126">
        <f ca="1">E9+F9</f>
        <v>50560.133294681087</v>
      </c>
      <c r="E9" s="126">
        <f t="shared" ca="1" si="1"/>
        <v>284.49857999706768</v>
      </c>
      <c r="F9" s="127">
        <f t="shared" ca="1" si="2"/>
        <v>50275.63471468402</v>
      </c>
      <c r="H9" s="94" t="s">
        <v>13</v>
      </c>
      <c r="I9" s="95"/>
      <c r="J9" s="196">
        <v>5000000</v>
      </c>
      <c r="N9" s="135" t="s">
        <v>84</v>
      </c>
      <c r="O9" s="83">
        <f ca="1">IF(O6,OFFSET(данные!$D$2,MATCH(CONCATENATE($J$7,$J$30),данные!$C:$C,0)-2,MATCH($J$32,OFFSET(IF($J$10/$J$9&gt;=0.2,данные!$A$7,данные!$A$13),MATCH($J$31,данные!$A$8:$A$12,0),4,1,90),0),1,1),INDEX(IF(J7="Новостройка",данные!$E$80:$W$80,данные!$E$87:$S$87),1,MATCH($J$32,OFFSET(данные!$A$22,O16-1+O17-1+O18,4,1,$O$19),0)))/100</f>
        <v>5.0999999999999997E-2</v>
      </c>
    </row>
    <row r="10" spans="2:16" x14ac:dyDescent="0.25">
      <c r="B10" s="125">
        <v>2</v>
      </c>
      <c r="C10" s="126">
        <f ca="1">C8-E10</f>
        <v>3449443.2051241179</v>
      </c>
      <c r="D10" s="126">
        <f t="shared" ref="D10:D72" ca="1" si="3">E10+F10</f>
        <v>50560.133294681087</v>
      </c>
      <c r="E10" s="126">
        <f t="shared" ca="1" si="1"/>
        <v>280.41158120106206</v>
      </c>
      <c r="F10" s="127">
        <f t="shared" ca="1" si="2"/>
        <v>50279.721713480023</v>
      </c>
      <c r="H10" s="94" t="s">
        <v>83</v>
      </c>
      <c r="I10" s="5"/>
      <c r="J10" s="197">
        <v>1550000</v>
      </c>
      <c r="K10" s="213" t="str">
        <f>IF(AND(J11&lt;=30%,J7="Новостройка с господдержкой 2020"),"ПВ должен быть от " &amp; TEXT(J9*0.31,"# ###") &amp; " руб.",
IF(AND(J11=20%,NOT(O7)),"ПВ = 20% попадает в диапазон повышенного КВ. ПВ на сделке должен быть от " &amp; TEXT(J9*0.21,"# ###") &amp; " руб.",
IF(AND(J11&lt;=20%,O7),"ПВ должен быть от " &amp; TEXT(J9*0.21,"# ###") &amp; " руб.",
IF(AND(J11&lt;=15%,NOT(O7)),"ПВ должен быть от " &amp; TEXT(J9*0.151,"# ###") &amp; " руб.",""))))</f>
        <v/>
      </c>
      <c r="N10" s="135" t="s">
        <v>89</v>
      </c>
      <c r="O10" s="83">
        <v>1E-3</v>
      </c>
    </row>
    <row r="11" spans="2:16" x14ac:dyDescent="0.25">
      <c r="B11" s="125">
        <v>4</v>
      </c>
      <c r="C11" s="126">
        <f ca="1">C9-E11</f>
        <v>3448870.0613973201</v>
      </c>
      <c r="D11" s="126">
        <f t="shared" ca="1" si="3"/>
        <v>50560.133294681087</v>
      </c>
      <c r="E11" s="126">
        <f t="shared" ca="1" si="1"/>
        <v>288.6451468005248</v>
      </c>
      <c r="F11" s="127">
        <f t="shared" ca="1" si="2"/>
        <v>50271.488147880562</v>
      </c>
      <c r="H11" s="94" t="s">
        <v>44</v>
      </c>
      <c r="I11" s="5"/>
      <c r="J11" s="200">
        <f>$J$10/$J$9</f>
        <v>0.31</v>
      </c>
      <c r="K11" s="213" t="str">
        <f>IF(AND(J11&lt;=30%,J7="Новостройка с господдержкой 2020"),"ПВ должен быть от 30,01%",
IF(AND(J11=20%,NOT(O7)),"ПВ = 20% попадает в диапазон повышенного КВ. ПВ на сделке должен быть от 20,01% !",
IF(AND(J11&lt;=20%,O7),"ПВ должен быть от 20,01%",
IF(AND(J11&lt;=15%,NOT(O7)),"ПВ должен быть от 15,01%",""))))</f>
        <v/>
      </c>
      <c r="N11" s="137"/>
      <c r="O11" s="136">
        <f>IF(OR(J7="Новостройка с господдержкой 2020",J7="Семейная ипотека",J7="Семейная ипотека ДФО",$J$7="Ипотека для IT-специалистов"),1,0)</f>
        <v>0</v>
      </c>
    </row>
    <row r="12" spans="2:16" ht="14.25" customHeight="1" x14ac:dyDescent="0.25">
      <c r="B12" s="125">
        <v>5</v>
      </c>
      <c r="C12" s="126">
        <f t="shared" ca="1" si="0"/>
        <v>3448577.2092475048</v>
      </c>
      <c r="D12" s="126">
        <f t="shared" ca="1" si="3"/>
        <v>50560.133294681087</v>
      </c>
      <c r="E12" s="126">
        <f t="shared" ca="1" si="1"/>
        <v>292.85214981514241</v>
      </c>
      <c r="F12" s="127">
        <f t="shared" ca="1" si="2"/>
        <v>50267.281144865941</v>
      </c>
      <c r="H12" s="94" t="s">
        <v>2</v>
      </c>
      <c r="I12" s="95"/>
      <c r="J12" s="194">
        <v>30</v>
      </c>
      <c r="K12" s="183" t="str">
        <f ca="1">IFERROR(IF(J12&lt;OFFSET(тарифы!$A$1,Калькулятор!$O$20+Калькулятор!$O$21+$O$22-2,12,Калькулятор!$O$23,1),CONCATENATE("Мин срок от ",TEXT(OFFSET(тарифы!$A$1,Калькулятор!$O$20+Калькулятор!$O$21+$O$22-2,12,Калькулятор!$O$23,1),"0")," лет"),""),"Ошибка")</f>
        <v/>
      </c>
      <c r="N12" s="137"/>
      <c r="O12" s="136">
        <f>MATCH($J$31,данные!$A$8:$A$12,0)</f>
        <v>1</v>
      </c>
      <c r="P12" s="167"/>
    </row>
    <row r="13" spans="2:16" ht="14.25" customHeight="1" x14ac:dyDescent="0.25">
      <c r="B13" s="125">
        <v>6</v>
      </c>
      <c r="C13" s="126">
        <f t="shared" ca="1" si="0"/>
        <v>3448280.0887776059</v>
      </c>
      <c r="D13" s="126">
        <f t="shared" ca="1" si="3"/>
        <v>50560.13329468108</v>
      </c>
      <c r="E13" s="126">
        <f t="shared" ca="1" si="1"/>
        <v>297.12046989869822</v>
      </c>
      <c r="F13" s="127">
        <f t="shared" ca="1" si="2"/>
        <v>50263.012824782381</v>
      </c>
      <c r="H13" s="94" t="s">
        <v>12</v>
      </c>
      <c r="I13" s="95"/>
      <c r="J13" s="97">
        <f>IF(J25,($J$9-$J$10)/(1-$J$24),($J$9-$J$10))</f>
        <v>3450000</v>
      </c>
      <c r="K13" s="214"/>
      <c r="N13" s="137"/>
      <c r="O13" s="138">
        <f>MATCH(CONCATENATE($J$7,$J$30),данные!$C:$C,0)</f>
        <v>2</v>
      </c>
    </row>
    <row r="14" spans="2:16" x14ac:dyDescent="0.25">
      <c r="B14" s="125">
        <v>7</v>
      </c>
      <c r="C14" s="126">
        <f ca="1">C13-E14</f>
        <v>3447978.6377768586</v>
      </c>
      <c r="D14" s="126">
        <f t="shared" ca="1" si="3"/>
        <v>50560.133294681087</v>
      </c>
      <c r="E14" s="126">
        <f t="shared" ca="1" si="1"/>
        <v>301.45100074747165</v>
      </c>
      <c r="F14" s="127">
        <f t="shared" ca="1" si="2"/>
        <v>50258.682293933613</v>
      </c>
      <c r="H14" s="94" t="s">
        <v>0</v>
      </c>
      <c r="I14" s="4"/>
      <c r="J14" s="96">
        <f ca="1">IF(J13/J9&gt;OFFSET(тарифы!$A$1,Калькулятор!$O$20+Калькулятор!$O$21-1,9,Калькулятор!$O$23,1),
CONCATENATE("Превышен максимальный LTV ",TEXT(OFFSET(тарифы!$A$1,Калькулятор!$O$20+Калькулятор!$O$21+$O$22-2,9,Калькулятор!$O$23,1),"0%")),
J13/J9)</f>
        <v>0.69</v>
      </c>
      <c r="K14" s="183"/>
      <c r="N14" s="137"/>
      <c r="O14" s="139">
        <f ca="1">MATCH(0,OFFSET(данные!$C$1,$O$13-1,2,1,90),1)</f>
        <v>1</v>
      </c>
    </row>
    <row r="15" spans="2:16" x14ac:dyDescent="0.25">
      <c r="B15" s="125">
        <v>8</v>
      </c>
      <c r="C15" s="126">
        <f t="shared" ca="1" si="0"/>
        <v>3447672.7931277752</v>
      </c>
      <c r="D15" s="126">
        <f t="shared" ca="1" si="3"/>
        <v>50560.133294681087</v>
      </c>
      <c r="E15" s="126">
        <f t="shared" ca="1" si="1"/>
        <v>305.84464908336616</v>
      </c>
      <c r="F15" s="127">
        <f t="shared" ca="1" si="2"/>
        <v>50254.28864559772</v>
      </c>
      <c r="H15" s="94" t="s">
        <v>110</v>
      </c>
      <c r="I15" s="4"/>
      <c r="J15" s="96">
        <f ca="1">IF(J16&gt;0,J16,
INDEX(тарифы!$A$2:$P$1502,O20+O21+MATCH(J14,OFFSET(тарифы!$A$1,Калькулятор!$O$20+Калькулятор!$O$21-1,3,Калькулятор!$O$23,1),-1)-2,6)+
IF(AND(O11=1,J30="полный срок",J29),-O10,
IF(OR(AND($J$22&gt;0,$O$11=1),$J$21),0,INDEX(тарифы!$A$2:$P$1502,O20+O21+MATCH(J14,OFFSET(тарифы!$A$1,Калькулятор!$O$20+Калькулятор!$O$21-1,3,Калькулятор!$O$23,1),-1)-2,7)))+
IF($O$25,INDEX(тарифы!$A$2:$P$1502,O20+O21+MATCH(J14,OFFSET(тарифы!$A$1,Калькулятор!$O$20+Калькулятор!$O$21-1,3,Калькулятор!$O$23,1),-1)-2,8),0)+OFFSET(тарифы!$A$1,Калькулятор!$O$20+Калькулятор!$O$21+$O$22-2,8,Калькулятор!$O$23,1)+
IF($O$26,INDEX(тарифы!$A$2:$P$1502,O20+O21+MATCH(J14,OFFSET(тарифы!$A$1,Калькулятор!$O$20+Калькулятор!$O$21-1,3,Калькулятор!$O$23,1),-1)-2,14),0)+
IF(J23,J26,0)+
IFERROR(IF($J$22&gt;0,VLOOKUP(Калькулятор!J7,тарифы!$AM:$AN,2,0),0),0))+
IF(AND($O$26,NOT($J$21)),INDEX(тарифы!$A$2:$P$1502,O20+O21+MATCH(J14,OFFSET(тарифы!$A$1,Калькулятор!$O$20+Калькулятор!$O$21-1,3,Калькулятор!$O$23,1),-1)-2,15),0)+
IF($O$24,INDEX(тарифы!$A$2:$P$1502,O20+O21+MATCH(J14,OFFSET(тарифы!$A$1,Калькулятор!$O$20+Калькулятор!$O$21-1,3,Калькулятор!$O$23,1),-1)-2,16),0)+
IF(NOT(O7),VLOOKUP(J17,тарифы!AU2:AV3,2,FALSE),0)</f>
        <v>0.1749</v>
      </c>
      <c r="K15" s="210"/>
      <c r="N15" s="137"/>
      <c r="O15" s="138">
        <f ca="1">COUNTIF(OFFSET(данные!$C$1,$O$13-1,2,1,90),"&gt;0")</f>
        <v>29</v>
      </c>
    </row>
    <row r="16" spans="2:16" x14ac:dyDescent="0.25">
      <c r="B16" s="125">
        <v>9</v>
      </c>
      <c r="C16" s="126">
        <f t="shared" ca="1" si="0"/>
        <v>3447362.4907929315</v>
      </c>
      <c r="D16" s="126">
        <f t="shared" ca="1" si="3"/>
        <v>50560.133294681087</v>
      </c>
      <c r="E16" s="126">
        <f t="shared" ca="1" si="1"/>
        <v>310.30233484375617</v>
      </c>
      <c r="F16" s="127">
        <f t="shared" ca="1" si="2"/>
        <v>50249.830959837331</v>
      </c>
      <c r="H16" s="115" t="s">
        <v>111</v>
      </c>
      <c r="I16" s="116"/>
      <c r="J16" s="160">
        <v>0</v>
      </c>
      <c r="N16" s="137"/>
      <c r="O16" s="136">
        <f ca="1">MATCH($J$31,OFFSET(данные!$A$22,1,0,1000,1),0)</f>
        <v>2</v>
      </c>
    </row>
    <row r="17" spans="2:16" x14ac:dyDescent="0.25">
      <c r="B17" s="125">
        <v>10</v>
      </c>
      <c r="C17" s="126">
        <f t="shared" ca="1" si="0"/>
        <v>3447047.6658015572</v>
      </c>
      <c r="D17" s="126">
        <f t="shared" ca="1" si="3"/>
        <v>50560.133294681087</v>
      </c>
      <c r="E17" s="126">
        <f t="shared" ca="1" si="1"/>
        <v>314.82499137410377</v>
      </c>
      <c r="F17" s="127">
        <f t="shared" ca="1" si="2"/>
        <v>50245.308303306985</v>
      </c>
      <c r="H17" s="113" t="s">
        <v>97</v>
      </c>
      <c r="I17" s="114"/>
      <c r="J17" s="193">
        <v>5.0000000000000001E-3</v>
      </c>
      <c r="N17" s="137"/>
      <c r="O17" s="136">
        <f ca="1">MATCH($J$7,OFFSET(данные!$A$22,O16,1,1000,1),0)</f>
        <v>26</v>
      </c>
    </row>
    <row r="18" spans="2:16" x14ac:dyDescent="0.25">
      <c r="B18" s="125">
        <v>11</v>
      </c>
      <c r="C18" s="126">
        <f t="shared" ca="1" si="0"/>
        <v>3446728.2522359337</v>
      </c>
      <c r="D18" s="126">
        <f t="shared" ca="1" si="3"/>
        <v>50560.133294681087</v>
      </c>
      <c r="E18" s="126">
        <f t="shared" ca="1" si="1"/>
        <v>319.41356562338149</v>
      </c>
      <c r="F18" s="127">
        <f t="shared" ca="1" si="2"/>
        <v>50240.719729057702</v>
      </c>
      <c r="H18" s="7" t="str">
        <f>IF(H38&lt;&gt;"","","Ежемесячный платеж, руб.")</f>
        <v>Ежемесячный платеж, руб.</v>
      </c>
      <c r="I18" s="8"/>
      <c r="J18" s="9">
        <f ca="1">IF(H38&lt;&gt;"","",-PMT($J$15/12,$J$12*12,$J$13))</f>
        <v>50560.13329468108</v>
      </c>
      <c r="N18" s="137"/>
      <c r="O18" s="136" t="e">
        <f ca="1">MATCH($J$30,OFFSET(данные!$A$22,O17,3,1000,1),0)</f>
        <v>#N/A</v>
      </c>
    </row>
    <row r="19" spans="2:16" x14ac:dyDescent="0.25">
      <c r="B19" s="125">
        <v>12</v>
      </c>
      <c r="C19" s="126">
        <f t="shared" ca="1" si="0"/>
        <v>3446404.1832175911</v>
      </c>
      <c r="D19" s="126">
        <f t="shared" ca="1" si="3"/>
        <v>50560.13329468108</v>
      </c>
      <c r="E19" s="126">
        <f t="shared" ca="1" si="1"/>
        <v>324.06901834234219</v>
      </c>
      <c r="F19" s="127">
        <f t="shared" ca="1" si="2"/>
        <v>50236.064276338737</v>
      </c>
      <c r="H19" s="129"/>
      <c r="I19" s="129"/>
      <c r="J19" s="129"/>
      <c r="N19" s="137"/>
      <c r="O19" s="139" t="e">
        <f ca="1">COUNTIF(OFFSET(данные!$A$22,O16-1+O17-1+O18,4,1,20),"&gt;0")</f>
        <v>#N/A</v>
      </c>
      <c r="P19" s="130"/>
    </row>
    <row r="20" spans="2:16" x14ac:dyDescent="0.25">
      <c r="B20" s="125">
        <v>13</v>
      </c>
      <c r="C20" s="126">
        <f t="shared" ca="1" si="0"/>
        <v>3446075.3908933066</v>
      </c>
      <c r="D20" s="126">
        <f t="shared" ca="1" si="3"/>
        <v>50560.13329468108</v>
      </c>
      <c r="E20" s="126">
        <f t="shared" ca="1" si="1"/>
        <v>328.79232428468197</v>
      </c>
      <c r="F20" s="127">
        <f t="shared" ca="1" si="2"/>
        <v>50231.340970396399</v>
      </c>
      <c r="H20" s="132" t="s">
        <v>86</v>
      </c>
      <c r="I20" s="99"/>
      <c r="J20" s="100"/>
      <c r="K20" s="210"/>
      <c r="N20" s="135" t="s">
        <v>31</v>
      </c>
      <c r="O20" s="84">
        <f>MATCH($J$7,тарифы!$A$2:$A$5002,0)</f>
        <v>1</v>
      </c>
      <c r="P20" s="151"/>
    </row>
    <row r="21" spans="2:16" ht="15" customHeight="1" x14ac:dyDescent="0.25">
      <c r="B21" s="125">
        <v>14</v>
      </c>
      <c r="C21" s="126">
        <f t="shared" ref="C21:C84" ca="1" si="4">C20-E21</f>
        <v>3445741.8064208953</v>
      </c>
      <c r="D21" s="126">
        <f t="shared" ca="1" si="3"/>
        <v>50560.13329468108</v>
      </c>
      <c r="E21" s="126">
        <f t="shared" ca="1" si="1"/>
        <v>333.58447241113112</v>
      </c>
      <c r="F21" s="127">
        <f t="shared" ca="1" si="2"/>
        <v>50226.54882226995</v>
      </c>
      <c r="H21" s="107" t="s">
        <v>45</v>
      </c>
      <c r="I21" s="108"/>
      <c r="J21" s="161" t="b">
        <v>0</v>
      </c>
      <c r="K21" s="184"/>
      <c r="N21" s="135"/>
      <c r="O21" s="84">
        <f ca="1">MATCH(Калькулятор!$J$8,OFFSET(тарифы!$A$1,Калькулятор!$O$20,1,COUNTIF(тарифы!$A$2:$A$502,Калькулятор!J7),1),0)</f>
        <v>1</v>
      </c>
    </row>
    <row r="22" spans="2:16" ht="15" customHeight="1" x14ac:dyDescent="0.25">
      <c r="B22" s="125">
        <v>15</v>
      </c>
      <c r="C22" s="126">
        <f t="shared" ca="1" si="4"/>
        <v>3445403.3599547986</v>
      </c>
      <c r="D22" s="126">
        <f t="shared" ca="1" si="3"/>
        <v>50560.133294681087</v>
      </c>
      <c r="E22" s="126">
        <f t="shared" ca="1" si="1"/>
        <v>338.44646609652324</v>
      </c>
      <c r="F22" s="127">
        <f t="shared" ca="1" si="2"/>
        <v>50221.686828584563</v>
      </c>
      <c r="H22" s="104" t="s">
        <v>66</v>
      </c>
      <c r="I22" s="105" t="s">
        <v>56</v>
      </c>
      <c r="J22" s="190">
        <v>0</v>
      </c>
      <c r="N22" s="135"/>
      <c r="O22" s="84">
        <f ca="1">MATCH(O25,OFFSET(тарифы!$A$1,Калькулятор!$O$20,7,COUNTIF(тарифы!$A$2:$A$502,Калькулятор!J7),1),0)</f>
        <v>1</v>
      </c>
    </row>
    <row r="23" spans="2:16" ht="15" customHeight="1" x14ac:dyDescent="0.25">
      <c r="B23" s="125">
        <v>16</v>
      </c>
      <c r="C23" s="126">
        <f t="shared" ca="1" si="4"/>
        <v>3445059.9806314586</v>
      </c>
      <c r="D23" s="126">
        <f t="shared" ca="1" si="3"/>
        <v>50560.133294681087</v>
      </c>
      <c r="E23" s="126">
        <f t="shared" ca="1" si="1"/>
        <v>343.37932333988022</v>
      </c>
      <c r="F23" s="127">
        <f t="shared" ca="1" si="2"/>
        <v>50216.753971341204</v>
      </c>
      <c r="H23" s="111" t="s">
        <v>88</v>
      </c>
      <c r="I23" s="106"/>
      <c r="J23" s="162" t="b">
        <v>0</v>
      </c>
      <c r="K23" s="216" t="str">
        <f>IF(AND($O$7,$J$23),"Неприменимо для гос.программ","")</f>
        <v/>
      </c>
      <c r="N23" s="135"/>
      <c r="O23" s="112">
        <f>COUNTIFS(тарифы!$A:$A,Калькулятор!$J$7,тарифы!B:B,Калькулятор!J8:J8,тарифы!H:H,Калькулятор!O25)</f>
        <v>1</v>
      </c>
      <c r="P23" s="130"/>
    </row>
    <row r="24" spans="2:16" x14ac:dyDescent="0.25">
      <c r="B24" s="125">
        <v>17</v>
      </c>
      <c r="C24" s="126">
        <f t="shared" ca="1" si="4"/>
        <v>3444711.596554481</v>
      </c>
      <c r="D24" s="126">
        <f t="shared" ca="1" si="3"/>
        <v>50560.13329468108</v>
      </c>
      <c r="E24" s="126">
        <f t="shared" ca="1" si="1"/>
        <v>348.38407697755889</v>
      </c>
      <c r="F24" s="127">
        <f t="shared" ca="1" si="2"/>
        <v>50211.749217703524</v>
      </c>
      <c r="H24" s="171" t="s">
        <v>103</v>
      </c>
      <c r="I24" s="5"/>
      <c r="J24" s="191">
        <v>0</v>
      </c>
      <c r="N24" s="139" t="s">
        <v>62</v>
      </c>
      <c r="O24" s="141" t="b">
        <v>0</v>
      </c>
    </row>
    <row r="25" spans="2:16" x14ac:dyDescent="0.25">
      <c r="B25" s="125">
        <v>18</v>
      </c>
      <c r="C25" s="126">
        <f t="shared" ca="1" si="4"/>
        <v>3444358.1347795813</v>
      </c>
      <c r="D25" s="126">
        <f t="shared" ca="1" si="3"/>
        <v>50560.133294681087</v>
      </c>
      <c r="E25" s="126">
        <f t="shared" ca="1" si="1"/>
        <v>353.46177489950696</v>
      </c>
      <c r="F25" s="127">
        <f t="shared" ca="1" si="2"/>
        <v>50206.671519781579</v>
      </c>
      <c r="H25" s="171" t="s">
        <v>87</v>
      </c>
      <c r="I25" s="5"/>
      <c r="J25" s="192" t="b">
        <v>0</v>
      </c>
      <c r="K25" s="184" t="str">
        <f>IF(AND(O7,J23,J25),"Услуга недоступна в кредит","")</f>
        <v/>
      </c>
      <c r="N25" s="139" t="s">
        <v>33</v>
      </c>
      <c r="O25" s="141" t="b">
        <v>0</v>
      </c>
    </row>
    <row r="26" spans="2:16" x14ac:dyDescent="0.25">
      <c r="B26" s="125">
        <v>19</v>
      </c>
      <c r="C26" s="126">
        <f t="shared" ca="1" si="4"/>
        <v>3443999.5212993128</v>
      </c>
      <c r="D26" s="126">
        <f t="shared" ca="1" si="3"/>
        <v>50560.133294681073</v>
      </c>
      <c r="E26" s="126">
        <f t="shared" ca="1" si="1"/>
        <v>358.61348026866716</v>
      </c>
      <c r="F26" s="127">
        <f t="shared" ca="1" si="2"/>
        <v>50201.519814412408</v>
      </c>
      <c r="H26" s="171" t="s">
        <v>104</v>
      </c>
      <c r="I26" s="5"/>
      <c r="J26" s="109">
        <f ca="1">IFERROR(OFFSET(тарифы!$AB$1,MATCH(J24,OFFSET(тарифы!$AB$1,MATCH($J$7,тарифы!$AB$2:$AB$51,0),1,COUNTIF(тарифы!$AB$2:$AB$51,Калькулятор!$J$7),1),0)-1+MATCH($J$7,тарифы!$AB$2:$AB$51,0),2,1,1),"выберите корректную ставку")</f>
        <v>0</v>
      </c>
      <c r="N26" s="139" t="s">
        <v>64</v>
      </c>
      <c r="O26" s="141" t="b">
        <v>0</v>
      </c>
    </row>
    <row r="27" spans="2:16" x14ac:dyDescent="0.25">
      <c r="B27" s="125">
        <v>20</v>
      </c>
      <c r="C27" s="126">
        <f t="shared" ca="1" si="4"/>
        <v>3443635.6810275693</v>
      </c>
      <c r="D27" s="126">
        <f t="shared" ca="1" si="3"/>
        <v>50560.13329468108</v>
      </c>
      <c r="E27" s="126">
        <f t="shared" ca="1" si="1"/>
        <v>363.84027174358289</v>
      </c>
      <c r="F27" s="127">
        <f t="shared" ca="1" si="2"/>
        <v>50196.293022937498</v>
      </c>
      <c r="H27" s="171" t="s">
        <v>105</v>
      </c>
      <c r="I27" s="5"/>
      <c r="J27" s="101">
        <f>IF(J25,($J$9-$J$10)/(1-J24)-(J9-J10),J13*J24)</f>
        <v>0</v>
      </c>
      <c r="K27" s="211"/>
      <c r="N27" s="139"/>
      <c r="O27" s="117"/>
    </row>
    <row r="28" spans="2:16" ht="15" customHeight="1" x14ac:dyDescent="0.25">
      <c r="B28" s="125">
        <v>21</v>
      </c>
      <c r="C28" s="126">
        <f t="shared" ca="1" si="4"/>
        <v>3443266.5377838649</v>
      </c>
      <c r="D28" s="126">
        <f t="shared" ca="1" si="3"/>
        <v>50560.133294681087</v>
      </c>
      <c r="E28" s="126">
        <f t="shared" ca="1" si="1"/>
        <v>369.14324370424578</v>
      </c>
      <c r="F28" s="127">
        <f t="shared" ca="1" si="2"/>
        <v>50190.990050976841</v>
      </c>
      <c r="H28" s="173" t="s">
        <v>106</v>
      </c>
      <c r="I28" s="174"/>
      <c r="J28" s="175">
        <f>IF(J24&gt;0,-SUM(F7:F367)-CUMIPMT((J15-J26)/12,J12*12,J13-IF(J25,J27,0),1,J12*12,0)-J27,0)</f>
        <v>0</v>
      </c>
      <c r="K28" s="211"/>
      <c r="N28" s="142"/>
      <c r="O28" s="143"/>
    </row>
    <row r="29" spans="2:16" ht="15" customHeight="1" x14ac:dyDescent="0.25">
      <c r="B29" s="125">
        <v>22</v>
      </c>
      <c r="C29" s="126">
        <f t="shared" ca="1" si="4"/>
        <v>3442892.0142773837</v>
      </c>
      <c r="D29" s="126">
        <f t="shared" ca="1" si="3"/>
        <v>50560.133294681087</v>
      </c>
      <c r="E29" s="126">
        <f t="shared" ca="1" si="1"/>
        <v>374.52350648123502</v>
      </c>
      <c r="F29" s="127">
        <f t="shared" ca="1" si="2"/>
        <v>50185.60978819985</v>
      </c>
      <c r="H29" s="176" t="str">
        <f>IF(AND($J$29,$O$8),"Параметры субсидирования:",IF($O$8,"Субсидирование от застройщика",""))</f>
        <v>Субсидирование от застройщика</v>
      </c>
      <c r="I29" s="177"/>
      <c r="J29" s="178" t="b">
        <v>0</v>
      </c>
      <c r="K29" s="185"/>
      <c r="N29" s="144"/>
      <c r="O29" s="145"/>
    </row>
    <row r="30" spans="2:16" x14ac:dyDescent="0.25">
      <c r="B30" s="125">
        <v>23</v>
      </c>
      <c r="C30" s="126">
        <f t="shared" ca="1" si="4"/>
        <v>3442512.0320907957</v>
      </c>
      <c r="D30" s="126">
        <f t="shared" ca="1" si="3"/>
        <v>50560.13329468108</v>
      </c>
      <c r="E30" s="126">
        <f t="shared" ca="1" si="1"/>
        <v>379.98218658819923</v>
      </c>
      <c r="F30" s="127">
        <f t="shared" ca="1" si="2"/>
        <v>50180.151108092883</v>
      </c>
      <c r="H30" s="168" t="str">
        <f>IF(AND($J$29,$O$8),"Срок субсидирования ставки застройщиком, мес","")</f>
        <v/>
      </c>
      <c r="I30" s="98"/>
      <c r="J30" s="102" t="s">
        <v>4</v>
      </c>
      <c r="N30" s="144"/>
      <c r="O30" s="145"/>
    </row>
    <row r="31" spans="2:16" x14ac:dyDescent="0.25">
      <c r="B31" s="125">
        <v>24</v>
      </c>
      <c r="C31" s="126">
        <f t="shared" ca="1" si="4"/>
        <v>3442126.5116638378</v>
      </c>
      <c r="D31" s="126">
        <f t="shared" ca="1" si="3"/>
        <v>50560.13329468108</v>
      </c>
      <c r="E31" s="126">
        <f t="shared" ca="1" si="1"/>
        <v>385.52042695772207</v>
      </c>
      <c r="F31" s="127">
        <f t="shared" ca="1" si="2"/>
        <v>50174.612867723357</v>
      </c>
      <c r="H31" s="169" t="str">
        <f>IF(AND($J$29,$O$8),"Срок отсрочки выплаты, мес","")</f>
        <v/>
      </c>
      <c r="I31" s="3"/>
      <c r="J31" s="198" t="s">
        <v>3</v>
      </c>
      <c r="K31" s="213" t="str">
        <f>IF(AND($J$29,$J$30&lt;&gt;"полный срок"),"Введите вручную","")</f>
        <v/>
      </c>
      <c r="N31" s="146"/>
      <c r="O31" s="147"/>
      <c r="P31" s="14"/>
    </row>
    <row r="32" spans="2:16" x14ac:dyDescent="0.25">
      <c r="B32" s="125">
        <v>25</v>
      </c>
      <c r="C32" s="126">
        <f t="shared" ca="1" si="4"/>
        <v>3441735.3722766573</v>
      </c>
      <c r="D32" s="126">
        <f t="shared" ca="1" si="3"/>
        <v>50560.13329468108</v>
      </c>
      <c r="E32" s="126">
        <f t="shared" ca="1" si="1"/>
        <v>391.1393871806311</v>
      </c>
      <c r="F32" s="127">
        <f t="shared" ca="1" si="2"/>
        <v>50168.993907500451</v>
      </c>
      <c r="H32" s="170" t="str">
        <f>IF(AND(AND($J$29,$O$8),J30&lt;&gt;0),"Субсидия от застройщика, % от суммы кредита","")</f>
        <v/>
      </c>
      <c r="I32" s="110"/>
      <c r="J32" s="179">
        <v>0.12</v>
      </c>
      <c r="K32" s="213" t="str">
        <f>IF(AND($J$29,$J$30&lt;&gt;"полный срок"),"Введите вручную","")</f>
        <v/>
      </c>
      <c r="N32" s="146"/>
      <c r="O32" s="147"/>
    </row>
    <row r="33" spans="2:16" x14ac:dyDescent="0.25">
      <c r="B33" s="125">
        <v>26</v>
      </c>
      <c r="C33" s="126">
        <f t="shared" ca="1" si="4"/>
        <v>3441338.5320329084</v>
      </c>
      <c r="D33" s="126">
        <f t="shared" ca="1" si="3"/>
        <v>50560.13329468108</v>
      </c>
      <c r="E33" s="126">
        <f t="shared" ca="1" si="1"/>
        <v>396.84024374878868</v>
      </c>
      <c r="F33" s="127">
        <f t="shared" ca="1" si="2"/>
        <v>50163.29305093229</v>
      </c>
      <c r="H33" s="172" t="str">
        <f>IF(AND($J$29,$O$8),"Скидка к ставке за счет субсидирования, %","")</f>
        <v/>
      </c>
      <c r="I33" s="5"/>
      <c r="J33" s="199">
        <v>0.01</v>
      </c>
      <c r="K33" s="213" t="str">
        <f>IF(AND($J$29,$J$30&lt;&gt;"полный срок"),"Введите вручную","")</f>
        <v/>
      </c>
      <c r="N33" s="146"/>
      <c r="O33" s="147"/>
      <c r="P33" s="14"/>
    </row>
    <row r="34" spans="2:16" ht="14.25" customHeight="1" x14ac:dyDescent="0.25">
      <c r="B34" s="125">
        <v>27</v>
      </c>
      <c r="C34" s="126">
        <f t="shared" ca="1" si="4"/>
        <v>3440935.9078426068</v>
      </c>
      <c r="D34" s="126">
        <f t="shared" ca="1" si="3"/>
        <v>50560.133294681087</v>
      </c>
      <c r="E34" s="126">
        <f t="shared" ca="1" si="1"/>
        <v>402.62419030142712</v>
      </c>
      <c r="F34" s="127">
        <f t="shared" ca="1" si="2"/>
        <v>50157.509104379656</v>
      </c>
      <c r="H34" s="172" t="str">
        <f>IF(AND($J$29,$O$8),"Скидка к ставке за счет субсидирования, %","")</f>
        <v/>
      </c>
      <c r="I34" s="5"/>
      <c r="J34" s="109">
        <f ca="1">IF(O9=0,"Выберите подходящие параметры",IFERROR(IF(AND($J$29,$O$8,$J$30="полный срок"),IF(O9&gt;J15-0.01%,J15-0.01%,O9),0),"Выберите подходящие параметры"))</f>
        <v>0</v>
      </c>
      <c r="K34" s="217"/>
      <c r="N34" s="146"/>
      <c r="O34" s="147"/>
    </row>
    <row r="35" spans="2:16" x14ac:dyDescent="0.25">
      <c r="B35" s="125">
        <v>28</v>
      </c>
      <c r="C35" s="126">
        <f t="shared" ca="1" si="4"/>
        <v>3440527.4154047319</v>
      </c>
      <c r="D35" s="126">
        <f t="shared" ca="1" si="3"/>
        <v>50560.133294681087</v>
      </c>
      <c r="E35" s="126">
        <f t="shared" ca="1" si="1"/>
        <v>408.49243787507055</v>
      </c>
      <c r="F35" s="127">
        <f t="shared" ca="1" si="2"/>
        <v>50151.640856806014</v>
      </c>
      <c r="H35" s="201" t="str">
        <f>IF(AND($J$29,$O$8),"Ставка для клиента, %","")</f>
        <v/>
      </c>
      <c r="I35" s="202"/>
      <c r="J35" s="207">
        <f ca="1">IF(AND(J29,O8),IFERROR(IF(J15-O5&lt;=0,0.01%,J15-O5),"Выберите подходящие параметры"),J15)</f>
        <v>0.1749</v>
      </c>
      <c r="K35" s="208"/>
      <c r="N35" s="146"/>
      <c r="O35" s="147"/>
      <c r="P35" s="14"/>
    </row>
    <row r="36" spans="2:16" x14ac:dyDescent="0.25">
      <c r="B36" s="125">
        <v>29</v>
      </c>
      <c r="C36" s="126">
        <f t="shared" ca="1" si="4"/>
        <v>3440112.9691895749</v>
      </c>
      <c r="D36" s="126">
        <f t="shared" ca="1" si="3"/>
        <v>50560.133294681087</v>
      </c>
      <c r="E36" s="126">
        <f t="shared" ca="1" si="1"/>
        <v>414.44621515709957</v>
      </c>
      <c r="F36" s="127">
        <f t="shared" ca="1" si="2"/>
        <v>50145.687079523988</v>
      </c>
      <c r="H36" s="172" t="str">
        <f>IF(AND($J$29,$O$8),"Субсидия от застройщика, руб.","")</f>
        <v/>
      </c>
      <c r="I36" s="5"/>
      <c r="J36" s="180">
        <f>IF(J30=0,0,$J$13*$J$32)</f>
        <v>414000</v>
      </c>
      <c r="K36" s="218"/>
      <c r="N36" s="146"/>
      <c r="O36" s="147"/>
    </row>
    <row r="37" spans="2:16" x14ac:dyDescent="0.25">
      <c r="B37" s="125">
        <v>30</v>
      </c>
      <c r="C37" s="126">
        <f t="shared" ca="1" si="4"/>
        <v>3439692.4824208319</v>
      </c>
      <c r="D37" s="126">
        <f t="shared" ca="1" si="3"/>
        <v>50560.13329468108</v>
      </c>
      <c r="E37" s="126">
        <f t="shared" ca="1" si="1"/>
        <v>420.48676874301464</v>
      </c>
      <c r="F37" s="127">
        <f t="shared" ca="1" si="2"/>
        <v>50139.646525938064</v>
      </c>
      <c r="H37" s="172" t="str">
        <f>IF(AND($J$29,$O$8),"Удорожание","")</f>
        <v/>
      </c>
      <c r="I37" s="5" t="s">
        <v>51</v>
      </c>
      <c r="J37" s="180">
        <f>IF(I37="с сохранением ПВ в руб",J13*J32/(1-J32),($J$9)/(1-($J$32)*(1-$J$10/$J$9))-$J$9)</f>
        <v>451373.746184038</v>
      </c>
      <c r="N37" s="146"/>
      <c r="O37" s="147"/>
    </row>
    <row r="38" spans="2:16" x14ac:dyDescent="0.25">
      <c r="B38" s="125">
        <v>31</v>
      </c>
      <c r="C38" s="126">
        <f t="shared" ca="1" si="4"/>
        <v>3439265.8670574343</v>
      </c>
      <c r="D38" s="126">
        <f t="shared" ca="1" si="3"/>
        <v>50560.13329468108</v>
      </c>
      <c r="E38" s="126">
        <f t="shared" ca="1" si="1"/>
        <v>426.61536339744384</v>
      </c>
      <c r="F38" s="127">
        <f t="shared" ca="1" si="2"/>
        <v>50133.517931283634</v>
      </c>
      <c r="H38" s="201" t="str">
        <f>IF(AND($J$29,$O$8),"Ежемесячный платеж на период субсидирования, руб.","")</f>
        <v/>
      </c>
      <c r="I38" s="202"/>
      <c r="J38" s="203">
        <f>IF(AND(J29,O8),IFERROR(-PMT($J$35/12,$J$12*12,$J$13),"Выберите подходящие параметры"),0)</f>
        <v>0</v>
      </c>
      <c r="N38" s="146"/>
      <c r="O38" s="147"/>
    </row>
    <row r="39" spans="2:16" x14ac:dyDescent="0.25">
      <c r="B39" s="125">
        <v>32</v>
      </c>
      <c r="C39" s="126">
        <f t="shared" ca="1" si="4"/>
        <v>3438833.0337751154</v>
      </c>
      <c r="D39" s="126">
        <f t="shared" ca="1" si="3"/>
        <v>50560.13329468108</v>
      </c>
      <c r="E39" s="126">
        <f t="shared" ca="1" si="1"/>
        <v>432.83328231896144</v>
      </c>
      <c r="F39" s="127">
        <f t="shared" ca="1" si="2"/>
        <v>50127.300012362117</v>
      </c>
      <c r="H39" s="204" t="str">
        <f>IF(AND($J$29,$O$8),"Ежемесячный платеж после окончания субсидирования, руб.","")</f>
        <v/>
      </c>
      <c r="I39" s="205"/>
      <c r="J39" s="206" t="str">
        <f>IF(AND(AND($J$29,$O$8),$J$30&gt;0),IFERROR(IF(J30="полный срок","не применимо",-PMT(($O$5+$J$35)/12,J12*12-J30,-FV($J$35/12,J30,-J38,J13))),"Выберите подходящие параметры"),"")</f>
        <v/>
      </c>
      <c r="N39" s="146"/>
      <c r="O39" s="147"/>
    </row>
    <row r="40" spans="2:16" x14ac:dyDescent="0.25">
      <c r="B40" s="125">
        <v>33</v>
      </c>
      <c r="C40" s="126">
        <f t="shared" ca="1" si="4"/>
        <v>3438393.8919477067</v>
      </c>
      <c r="D40" s="126">
        <f t="shared" ca="1" si="3"/>
        <v>50560.13329468108</v>
      </c>
      <c r="E40" s="126">
        <f t="shared" ca="1" si="1"/>
        <v>439.14182740876049</v>
      </c>
      <c r="F40" s="127">
        <f t="shared" ca="1" si="2"/>
        <v>50120.991467272317</v>
      </c>
      <c r="K40" s="208"/>
      <c r="N40" s="146"/>
      <c r="O40" s="147"/>
    </row>
    <row r="41" spans="2:16" x14ac:dyDescent="0.25">
      <c r="B41" s="125">
        <v>34</v>
      </c>
      <c r="C41" s="126">
        <f t="shared" ca="1" si="4"/>
        <v>3437948.3496281635</v>
      </c>
      <c r="D41" s="126">
        <f t="shared" ca="1" si="3"/>
        <v>50560.133294681087</v>
      </c>
      <c r="E41" s="126">
        <f t="shared" ca="1" si="1"/>
        <v>445.54231954324302</v>
      </c>
      <c r="F41" s="127">
        <f t="shared" ca="1" si="2"/>
        <v>50114.590975137842</v>
      </c>
      <c r="K41" s="208"/>
      <c r="N41" s="146"/>
      <c r="O41" s="147"/>
    </row>
    <row r="42" spans="2:16" x14ac:dyDescent="0.25">
      <c r="B42" s="125">
        <v>35</v>
      </c>
      <c r="C42" s="126">
        <f t="shared" ca="1" si="4"/>
        <v>3437496.3135293131</v>
      </c>
      <c r="D42" s="126">
        <f t="shared" ca="1" si="3"/>
        <v>50560.13329468108</v>
      </c>
      <c r="E42" s="126">
        <f t="shared" ca="1" si="1"/>
        <v>452.03609885058609</v>
      </c>
      <c r="F42" s="127">
        <f t="shared" ca="1" si="2"/>
        <v>50108.097195830494</v>
      </c>
      <c r="N42" s="146"/>
      <c r="O42" s="147"/>
    </row>
    <row r="43" spans="2:16" x14ac:dyDescent="0.25">
      <c r="B43" s="125">
        <v>36</v>
      </c>
      <c r="C43" s="126">
        <f t="shared" ca="1" si="4"/>
        <v>3437037.6890043216</v>
      </c>
      <c r="D43" s="126">
        <f t="shared" ca="1" si="3"/>
        <v>50560.13329468108</v>
      </c>
      <c r="E43" s="126">
        <f t="shared" ca="1" si="1"/>
        <v>458.6245249913332</v>
      </c>
      <c r="F43" s="127">
        <f t="shared" ca="1" si="2"/>
        <v>50101.508769689746</v>
      </c>
      <c r="N43" s="146"/>
      <c r="O43" s="147"/>
    </row>
    <row r="44" spans="2:16" x14ac:dyDescent="0.25">
      <c r="B44" s="125">
        <v>37</v>
      </c>
      <c r="C44" s="126">
        <f t="shared" ca="1" si="4"/>
        <v>3436572.3800268783</v>
      </c>
      <c r="D44" s="126">
        <f t="shared" ca="1" si="3"/>
        <v>50560.13329468108</v>
      </c>
      <c r="E44" s="126">
        <f t="shared" ca="1" si="1"/>
        <v>465.30897744308169</v>
      </c>
      <c r="F44" s="127">
        <f t="shared" ca="1" si="2"/>
        <v>50094.824317237995</v>
      </c>
      <c r="N44" s="146"/>
      <c r="O44" s="147"/>
    </row>
    <row r="45" spans="2:16" x14ac:dyDescent="0.25">
      <c r="B45" s="125">
        <v>38</v>
      </c>
      <c r="C45" s="126">
        <f t="shared" ca="1" si="4"/>
        <v>3436100.289171089</v>
      </c>
      <c r="D45" s="126">
        <f t="shared" ca="1" si="3"/>
        <v>50560.13329468108</v>
      </c>
      <c r="E45" s="126">
        <f t="shared" ca="1" si="1"/>
        <v>472.09085578931484</v>
      </c>
      <c r="F45" s="127">
        <f t="shared" ca="1" si="2"/>
        <v>50088.042438891767</v>
      </c>
      <c r="N45" s="146"/>
      <c r="O45" s="147"/>
    </row>
    <row r="46" spans="2:16" x14ac:dyDescent="0.25">
      <c r="B46" s="125">
        <v>39</v>
      </c>
      <c r="C46" s="126">
        <f t="shared" ca="1" si="4"/>
        <v>3435621.3175910767</v>
      </c>
      <c r="D46" s="126">
        <f t="shared" ca="1" si="3"/>
        <v>50560.133294681087</v>
      </c>
      <c r="E46" s="126">
        <f t="shared" ca="1" si="1"/>
        <v>478.97158001244395</v>
      </c>
      <c r="F46" s="127">
        <f t="shared" ca="1" si="2"/>
        <v>50081.16171466864</v>
      </c>
      <c r="N46" s="146"/>
      <c r="O46" s="147"/>
    </row>
    <row r="47" spans="2:16" x14ac:dyDescent="0.25">
      <c r="B47" s="125">
        <v>40</v>
      </c>
      <c r="C47" s="126">
        <f t="shared" ca="1" si="4"/>
        <v>3435135.3650002857</v>
      </c>
      <c r="D47" s="126">
        <f t="shared" ca="1" si="3"/>
        <v>50560.13329468108</v>
      </c>
      <c r="E47" s="126">
        <f t="shared" ca="1" si="1"/>
        <v>485.95259079112566</v>
      </c>
      <c r="F47" s="127">
        <f t="shared" ca="1" si="2"/>
        <v>50074.180703889957</v>
      </c>
      <c r="N47" s="146"/>
      <c r="O47" s="147"/>
    </row>
    <row r="48" spans="2:16" x14ac:dyDescent="0.25">
      <c r="B48" s="125">
        <v>41</v>
      </c>
      <c r="C48" s="126">
        <f t="shared" ca="1" si="4"/>
        <v>3434642.3296504836</v>
      </c>
      <c r="D48" s="126">
        <f t="shared" ca="1" si="3"/>
        <v>50560.13329468108</v>
      </c>
      <c r="E48" s="126">
        <f t="shared" ca="1" si="1"/>
        <v>493.03534980190608</v>
      </c>
      <c r="F48" s="127">
        <f t="shared" ca="1" si="2"/>
        <v>50067.097944879177</v>
      </c>
      <c r="N48" s="146"/>
      <c r="O48" s="147"/>
    </row>
    <row r="49" spans="2:15" x14ac:dyDescent="0.25">
      <c r="B49" s="125">
        <v>42</v>
      </c>
      <c r="C49" s="126">
        <f t="shared" ca="1" si="4"/>
        <v>3434142.1083104583</v>
      </c>
      <c r="D49" s="126">
        <f t="shared" ca="1" si="3"/>
        <v>50560.133294681073</v>
      </c>
      <c r="E49" s="126">
        <f t="shared" ca="1" si="1"/>
        <v>500.2213400252686</v>
      </c>
      <c r="F49" s="127">
        <f t="shared" ca="1" si="2"/>
        <v>50059.911954655807</v>
      </c>
      <c r="N49" s="146"/>
      <c r="O49" s="147"/>
    </row>
    <row r="50" spans="2:15" x14ac:dyDescent="0.25">
      <c r="B50" s="125">
        <v>43</v>
      </c>
      <c r="C50" s="126">
        <f t="shared" ca="1" si="4"/>
        <v>3433634.5962444022</v>
      </c>
      <c r="D50" s="126">
        <f t="shared" ca="1" si="3"/>
        <v>50560.133294681087</v>
      </c>
      <c r="E50" s="126">
        <f t="shared" ca="1" si="1"/>
        <v>507.51206605613726</v>
      </c>
      <c r="F50" s="127">
        <f t="shared" ca="1" si="2"/>
        <v>50052.62122862495</v>
      </c>
      <c r="N50" s="146"/>
      <c r="O50" s="147"/>
    </row>
    <row r="51" spans="2:15" x14ac:dyDescent="0.25">
      <c r="B51" s="125">
        <v>44</v>
      </c>
      <c r="C51" s="126">
        <f t="shared" ca="1" si="4"/>
        <v>3433119.6871899832</v>
      </c>
      <c r="D51" s="126">
        <f t="shared" ca="1" si="3"/>
        <v>50560.133294681073</v>
      </c>
      <c r="E51" s="126">
        <f t="shared" ca="1" si="1"/>
        <v>514.90905441890527</v>
      </c>
      <c r="F51" s="127">
        <f t="shared" ca="1" si="2"/>
        <v>50045.22424026217</v>
      </c>
      <c r="N51" s="146"/>
      <c r="O51" s="147"/>
    </row>
    <row r="52" spans="2:15" x14ac:dyDescent="0.25">
      <c r="B52" s="125">
        <v>45</v>
      </c>
      <c r="C52" s="126">
        <f t="shared" ca="1" si="4"/>
        <v>3432597.2733360962</v>
      </c>
      <c r="D52" s="126">
        <f t="shared" ca="1" si="3"/>
        <v>50560.13329468108</v>
      </c>
      <c r="E52" s="126">
        <f t="shared" ca="1" si="1"/>
        <v>522.41385388706101</v>
      </c>
      <c r="F52" s="127">
        <f t="shared" ca="1" si="2"/>
        <v>50037.719440794019</v>
      </c>
      <c r="N52" s="146"/>
      <c r="O52" s="147"/>
    </row>
    <row r="53" spans="2:15" x14ac:dyDescent="0.25">
      <c r="B53" s="125">
        <v>46</v>
      </c>
      <c r="C53" s="126">
        <f t="shared" ca="1" si="4"/>
        <v>3432067.2453002888</v>
      </c>
      <c r="D53" s="126">
        <f t="shared" ca="1" si="3"/>
        <v>50560.133294681087</v>
      </c>
      <c r="E53" s="126">
        <f t="shared" ca="1" si="1"/>
        <v>530.02803580746479</v>
      </c>
      <c r="F53" s="127">
        <f t="shared" ca="1" si="2"/>
        <v>50030.10525887362</v>
      </c>
      <c r="N53" s="146"/>
      <c r="O53" s="147"/>
    </row>
    <row r="54" spans="2:15" x14ac:dyDescent="0.25">
      <c r="B54" s="125">
        <v>47</v>
      </c>
      <c r="C54" s="126">
        <f t="shared" ca="1" si="4"/>
        <v>3431529.4921058593</v>
      </c>
      <c r="D54" s="126">
        <f t="shared" ca="1" si="3"/>
        <v>50560.133294681087</v>
      </c>
      <c r="E54" s="126">
        <f t="shared" ca="1" si="1"/>
        <v>537.75319442935836</v>
      </c>
      <c r="F54" s="127">
        <f t="shared" ca="1" si="2"/>
        <v>50022.380100251728</v>
      </c>
      <c r="N54" s="146"/>
      <c r="O54" s="147"/>
    </row>
    <row r="55" spans="2:15" x14ac:dyDescent="0.25">
      <c r="B55" s="125">
        <v>48</v>
      </c>
      <c r="C55" s="126">
        <f t="shared" ca="1" si="4"/>
        <v>3430983.9011586211</v>
      </c>
      <c r="D55" s="126">
        <f t="shared" ca="1" si="3"/>
        <v>50560.133294681087</v>
      </c>
      <c r="E55" s="126">
        <f t="shared" ca="1" si="1"/>
        <v>545.59094723816656</v>
      </c>
      <c r="F55" s="127">
        <f t="shared" ca="1" si="2"/>
        <v>50014.542347442919</v>
      </c>
      <c r="N55" s="146"/>
      <c r="O55" s="147"/>
    </row>
    <row r="56" spans="2:15" x14ac:dyDescent="0.25">
      <c r="B56" s="125">
        <v>49</v>
      </c>
      <c r="C56" s="126">
        <f t="shared" ca="1" si="4"/>
        <v>3430430.358223327</v>
      </c>
      <c r="D56" s="126">
        <f t="shared" ca="1" si="3"/>
        <v>50560.13329468108</v>
      </c>
      <c r="E56" s="126">
        <f t="shared" ca="1" si="1"/>
        <v>553.54293529416259</v>
      </c>
      <c r="F56" s="127">
        <f t="shared" ca="1" si="2"/>
        <v>50006.590359386915</v>
      </c>
      <c r="N56" s="146"/>
      <c r="O56" s="147"/>
    </row>
    <row r="57" spans="2:15" x14ac:dyDescent="0.25">
      <c r="B57" s="125">
        <v>50</v>
      </c>
      <c r="C57" s="126">
        <f t="shared" ca="1" si="4"/>
        <v>3429868.7473997511</v>
      </c>
      <c r="D57" s="126">
        <f t="shared" ca="1" si="3"/>
        <v>50560.133294681087</v>
      </c>
      <c r="E57" s="126">
        <f t="shared" ca="1" si="1"/>
        <v>561.6108235760754</v>
      </c>
      <c r="F57" s="127">
        <f t="shared" ca="1" si="2"/>
        <v>49998.52247110501</v>
      </c>
      <c r="N57" s="146"/>
      <c r="O57" s="147"/>
    </row>
    <row r="58" spans="2:15" x14ac:dyDescent="0.25">
      <c r="B58" s="125">
        <v>51</v>
      </c>
      <c r="C58" s="126">
        <f t="shared" ca="1" si="4"/>
        <v>3429298.9510984216</v>
      </c>
      <c r="D58" s="126">
        <f t="shared" ca="1" si="3"/>
        <v>50560.13329468108</v>
      </c>
      <c r="E58" s="126">
        <f t="shared" ca="1" si="1"/>
        <v>569.79630132969646</v>
      </c>
      <c r="F58" s="127">
        <f t="shared" ca="1" si="2"/>
        <v>49990.336993351382</v>
      </c>
      <c r="N58" s="146"/>
      <c r="O58" s="147"/>
    </row>
    <row r="59" spans="2:15" x14ac:dyDescent="0.25">
      <c r="B59" s="125">
        <v>52</v>
      </c>
      <c r="C59" s="126">
        <f t="shared" ca="1" si="4"/>
        <v>3428720.8500160002</v>
      </c>
      <c r="D59" s="126">
        <f t="shared" ca="1" si="3"/>
        <v>50560.133294681087</v>
      </c>
      <c r="E59" s="126">
        <f t="shared" ca="1" si="1"/>
        <v>578.10108242157662</v>
      </c>
      <c r="F59" s="127">
        <f t="shared" ca="1" si="2"/>
        <v>49982.03221225951</v>
      </c>
      <c r="N59" s="146"/>
      <c r="O59" s="147"/>
    </row>
    <row r="60" spans="2:15" x14ac:dyDescent="0.25">
      <c r="B60" s="125">
        <v>53</v>
      </c>
      <c r="C60" s="126">
        <f t="shared" ca="1" si="4"/>
        <v>3428134.3231103024</v>
      </c>
      <c r="D60" s="126">
        <f t="shared" ca="1" si="3"/>
        <v>50560.133294681087</v>
      </c>
      <c r="E60" s="126">
        <f t="shared" ca="1" si="1"/>
        <v>586.52690569787137</v>
      </c>
      <c r="F60" s="127">
        <f t="shared" ca="1" si="2"/>
        <v>49973.606388983215</v>
      </c>
      <c r="N60" s="146"/>
      <c r="O60" s="147"/>
    </row>
    <row r="61" spans="2:15" x14ac:dyDescent="0.25">
      <c r="B61" s="125">
        <v>54</v>
      </c>
      <c r="C61" s="126">
        <f t="shared" ca="1" si="4"/>
        <v>3427539.2475749538</v>
      </c>
      <c r="D61" s="126">
        <f t="shared" ca="1" si="3"/>
        <v>50560.133294681087</v>
      </c>
      <c r="E61" s="126">
        <f t="shared" ca="1" si="1"/>
        <v>595.0755353484177</v>
      </c>
      <c r="F61" s="127">
        <f t="shared" ca="1" si="2"/>
        <v>49965.057759332667</v>
      </c>
      <c r="N61" s="146"/>
      <c r="O61" s="147"/>
    </row>
    <row r="62" spans="2:15" x14ac:dyDescent="0.25">
      <c r="B62" s="125">
        <v>55</v>
      </c>
      <c r="C62" s="126">
        <f t="shared" ca="1" si="4"/>
        <v>3426935.4988136776</v>
      </c>
      <c r="D62" s="126">
        <f t="shared" ca="1" si="3"/>
        <v>50560.13329468108</v>
      </c>
      <c r="E62" s="126">
        <f t="shared" ca="1" si="1"/>
        <v>603.74876127612106</v>
      </c>
      <c r="F62" s="127">
        <f t="shared" ca="1" si="2"/>
        <v>49956.384533404962</v>
      </c>
      <c r="N62" s="146"/>
      <c r="O62" s="147"/>
    </row>
    <row r="63" spans="2:15" x14ac:dyDescent="0.25">
      <c r="B63" s="125">
        <v>56</v>
      </c>
      <c r="C63" s="126">
        <f t="shared" ca="1" si="4"/>
        <v>3426322.9504142059</v>
      </c>
      <c r="D63" s="126">
        <f t="shared" ca="1" si="3"/>
        <v>50560.133294681087</v>
      </c>
      <c r="E63" s="126">
        <f t="shared" ca="1" si="1"/>
        <v>612.54839947172047</v>
      </c>
      <c r="F63" s="127">
        <f t="shared" ca="1" si="2"/>
        <v>49947.584895209366</v>
      </c>
      <c r="N63" s="146"/>
      <c r="O63" s="147"/>
    </row>
    <row r="64" spans="2:15" x14ac:dyDescent="0.25">
      <c r="B64" s="125">
        <v>57</v>
      </c>
      <c r="C64" s="126">
        <f t="shared" ca="1" si="4"/>
        <v>3425701.4741218118</v>
      </c>
      <c r="D64" s="126">
        <f t="shared" ca="1" si="3"/>
        <v>50560.133294681087</v>
      </c>
      <c r="E64" s="126">
        <f t="shared" ca="1" si="1"/>
        <v>621.47629239402045</v>
      </c>
      <c r="F64" s="127">
        <f t="shared" ca="1" si="2"/>
        <v>49938.657002287066</v>
      </c>
      <c r="N64" s="146"/>
      <c r="O64" s="147"/>
    </row>
    <row r="65" spans="2:15" x14ac:dyDescent="0.25">
      <c r="B65" s="125">
        <v>58</v>
      </c>
      <c r="C65" s="126">
        <f t="shared" ca="1" si="4"/>
        <v>3425070.9398124563</v>
      </c>
      <c r="D65" s="126">
        <f t="shared" ca="1" si="3"/>
        <v>50560.133294681087</v>
      </c>
      <c r="E65" s="126">
        <f t="shared" ca="1" si="1"/>
        <v>630.53430935566371</v>
      </c>
      <c r="F65" s="127">
        <f t="shared" ca="1" si="2"/>
        <v>49929.598985325421</v>
      </c>
      <c r="N65" s="146"/>
      <c r="O65" s="147"/>
    </row>
    <row r="66" spans="2:15" x14ac:dyDescent="0.25">
      <c r="B66" s="125">
        <v>59</v>
      </c>
      <c r="C66" s="126">
        <f t="shared" ca="1" si="4"/>
        <v>3424431.2154655419</v>
      </c>
      <c r="D66" s="126">
        <f t="shared" ca="1" si="3"/>
        <v>50560.133294681087</v>
      </c>
      <c r="E66" s="126">
        <f t="shared" ca="1" si="1"/>
        <v>639.72434691452224</v>
      </c>
      <c r="F66" s="127">
        <f t="shared" ca="1" si="2"/>
        <v>49920.408947766562</v>
      </c>
      <c r="N66" s="146"/>
      <c r="O66" s="147"/>
    </row>
    <row r="67" spans="2:15" x14ac:dyDescent="0.25">
      <c r="B67" s="125">
        <v>60</v>
      </c>
      <c r="C67" s="126">
        <f t="shared" ca="1" si="4"/>
        <v>3423782.167136271</v>
      </c>
      <c r="D67" s="126">
        <f t="shared" ca="1" si="3"/>
        <v>50560.13329468108</v>
      </c>
      <c r="E67" s="126">
        <f t="shared" ca="1" si="1"/>
        <v>649.04832927080179</v>
      </c>
      <c r="F67" s="127">
        <f t="shared" ca="1" si="2"/>
        <v>49911.084965410279</v>
      </c>
      <c r="N67" s="146"/>
      <c r="O67" s="147"/>
    </row>
    <row r="68" spans="2:15" x14ac:dyDescent="0.25">
      <c r="B68" s="125">
        <v>61</v>
      </c>
      <c r="C68" s="126">
        <f t="shared" ca="1" si="4"/>
        <v>3423123.6589276013</v>
      </c>
      <c r="D68" s="126">
        <f t="shared" ca="1" si="3"/>
        <v>50560.133294681087</v>
      </c>
      <c r="E68" s="126">
        <f t="shared" ca="1" si="1"/>
        <v>658.50820866992342</v>
      </c>
      <c r="F68" s="127">
        <f t="shared" ca="1" si="2"/>
        <v>49901.625086011161</v>
      </c>
      <c r="N68" s="146"/>
      <c r="O68" s="147"/>
    </row>
    <row r="69" spans="2:15" x14ac:dyDescent="0.25">
      <c r="B69" s="125">
        <v>62</v>
      </c>
      <c r="C69" s="126">
        <f t="shared" ca="1" si="4"/>
        <v>3422455.55296179</v>
      </c>
      <c r="D69" s="126">
        <f t="shared" ca="1" si="3"/>
        <v>50560.13329468108</v>
      </c>
      <c r="E69" s="126">
        <f t="shared" ca="1" si="1"/>
        <v>668.10596581128789</v>
      </c>
      <c r="F69" s="127">
        <f t="shared" ca="1" si="2"/>
        <v>49892.027328869794</v>
      </c>
      <c r="N69" s="146"/>
      <c r="O69" s="147"/>
    </row>
    <row r="70" spans="2:15" x14ac:dyDescent="0.25">
      <c r="B70" s="125">
        <v>63</v>
      </c>
      <c r="C70" s="126">
        <f t="shared" ca="1" si="4"/>
        <v>3421777.709351527</v>
      </c>
      <c r="D70" s="126">
        <f t="shared" ca="1" si="3"/>
        <v>50560.13329468108</v>
      </c>
      <c r="E70" s="126">
        <f t="shared" ca="1" si="1"/>
        <v>677.84361026298711</v>
      </c>
      <c r="F70" s="127">
        <f t="shared" ca="1" si="2"/>
        <v>49882.289684418094</v>
      </c>
      <c r="N70" s="146"/>
      <c r="O70" s="147"/>
    </row>
    <row r="71" spans="2:15" x14ac:dyDescent="0.25">
      <c r="B71" s="125">
        <v>64</v>
      </c>
      <c r="C71" s="126">
        <f t="shared" ca="1" si="4"/>
        <v>3421089.9861706444</v>
      </c>
      <c r="D71" s="126">
        <f t="shared" ca="1" si="3"/>
        <v>50560.13329468108</v>
      </c>
      <c r="E71" s="126">
        <f t="shared" ca="1" si="1"/>
        <v>687.72318088256998</v>
      </c>
      <c r="F71" s="127">
        <f t="shared" ca="1" si="2"/>
        <v>49872.410113798513</v>
      </c>
      <c r="N71" s="146"/>
      <c r="O71" s="147"/>
    </row>
    <row r="72" spans="2:15" x14ac:dyDescent="0.25">
      <c r="B72" s="125">
        <v>65</v>
      </c>
      <c r="C72" s="126">
        <f t="shared" ca="1" si="4"/>
        <v>3420392.2394244005</v>
      </c>
      <c r="D72" s="126">
        <f t="shared" ca="1" si="3"/>
        <v>50560.13329468108</v>
      </c>
      <c r="E72" s="126">
        <f t="shared" ref="E72:E135" ca="1" si="5">-IFERROR(IF(OR(B72&lt;=$J$30,$J$30=0),PPMT($J$35/12,B72,$J$12*12,$J$13),PPMT(($O$5+$J$35)/12,B72-$J$30,$J$12*12-$J$30,$J$13+CUMPRINC($J$35/12,$J$12*12,$J$13,1,$J$30,0))),0)</f>
        <v>697.74674624393379</v>
      </c>
      <c r="F72" s="127">
        <f t="shared" ref="F72:F135" ca="1" si="6">-IF(AND($O$8,B72&lt;=$J$22),IF($H$22="Без процентов",0,0.5),1)*IFERROR(IF(OR(B72&lt;=$J$30,$J$30=0),IPMT($J$35/12,B72,$J$12*12,$J$13),IPMT(($O$5+$J$35)/12,B72-$J$30,$J$12*12-$J$30,$J$13+CUMPRINC($J$35/12,$J$12*12,$J$13,1,$J$30,0),0,0)),0)</f>
        <v>49862.386548437149</v>
      </c>
      <c r="N72" s="146"/>
      <c r="O72" s="147"/>
    </row>
    <row r="73" spans="2:15" x14ac:dyDescent="0.25">
      <c r="B73" s="125">
        <v>66</v>
      </c>
      <c r="C73" s="126">
        <f t="shared" ca="1" si="4"/>
        <v>3419684.3230193299</v>
      </c>
      <c r="D73" s="126">
        <f t="shared" ref="D73:D136" ca="1" si="7">E73+F73</f>
        <v>50560.133294681094</v>
      </c>
      <c r="E73" s="126">
        <f t="shared" ca="1" si="5"/>
        <v>707.91640507043883</v>
      </c>
      <c r="F73" s="127">
        <f t="shared" ca="1" si="6"/>
        <v>49852.216889610652</v>
      </c>
      <c r="N73" s="146"/>
      <c r="O73" s="147"/>
    </row>
    <row r="74" spans="2:15" x14ac:dyDescent="0.25">
      <c r="B74" s="125">
        <v>67</v>
      </c>
      <c r="C74" s="126">
        <f t="shared" ca="1" si="4"/>
        <v>3418966.0887326556</v>
      </c>
      <c r="D74" s="126">
        <f t="shared" ca="1" si="7"/>
        <v>50560.133294681087</v>
      </c>
      <c r="E74" s="126">
        <f t="shared" ca="1" si="5"/>
        <v>718.23428667434086</v>
      </c>
      <c r="F74" s="127">
        <f t="shared" ca="1" si="6"/>
        <v>49841.899008006745</v>
      </c>
      <c r="N74" s="146"/>
      <c r="O74" s="147"/>
    </row>
    <row r="75" spans="2:15" x14ac:dyDescent="0.25">
      <c r="B75" s="125">
        <v>68</v>
      </c>
      <c r="C75" s="126">
        <f t="shared" ca="1" si="4"/>
        <v>3418237.386181253</v>
      </c>
      <c r="D75" s="126">
        <f t="shared" ca="1" si="7"/>
        <v>50560.133294681087</v>
      </c>
      <c r="E75" s="126">
        <f t="shared" ca="1" si="5"/>
        <v>728.70255140261918</v>
      </c>
      <c r="F75" s="127">
        <f t="shared" ca="1" si="6"/>
        <v>49831.43074327847</v>
      </c>
      <c r="N75" s="146"/>
      <c r="O75" s="147"/>
    </row>
    <row r="76" spans="2:15" x14ac:dyDescent="0.25">
      <c r="B76" s="125">
        <v>69</v>
      </c>
      <c r="C76" s="126">
        <f t="shared" ca="1" si="4"/>
        <v>3417498.0627901638</v>
      </c>
      <c r="D76" s="126">
        <f t="shared" ca="1" si="7"/>
        <v>50560.133294681087</v>
      </c>
      <c r="E76" s="126">
        <f t="shared" ca="1" si="5"/>
        <v>739.32339108931205</v>
      </c>
      <c r="F76" s="127">
        <f t="shared" ca="1" si="6"/>
        <v>49820.809903591777</v>
      </c>
      <c r="N76" s="146"/>
      <c r="O76" s="147"/>
    </row>
    <row r="77" spans="2:15" x14ac:dyDescent="0.25">
      <c r="B77" s="125">
        <v>70</v>
      </c>
      <c r="C77" s="126">
        <f t="shared" ca="1" si="4"/>
        <v>3416747.9637606493</v>
      </c>
      <c r="D77" s="126">
        <f t="shared" ca="1" si="7"/>
        <v>50560.13329468108</v>
      </c>
      <c r="E77" s="126">
        <f t="shared" ca="1" si="5"/>
        <v>750.09902951443917</v>
      </c>
      <c r="F77" s="127">
        <f t="shared" ca="1" si="6"/>
        <v>49810.034265166643</v>
      </c>
      <c r="N77" s="146"/>
      <c r="O77" s="147"/>
    </row>
    <row r="78" spans="2:15" x14ac:dyDescent="0.25">
      <c r="B78" s="125">
        <v>71</v>
      </c>
      <c r="C78" s="126">
        <f t="shared" ca="1" si="4"/>
        <v>3415986.9320377796</v>
      </c>
      <c r="D78" s="126">
        <f t="shared" ca="1" si="7"/>
        <v>50560.133294681087</v>
      </c>
      <c r="E78" s="126">
        <f t="shared" ca="1" si="5"/>
        <v>761.03172286961183</v>
      </c>
      <c r="F78" s="127">
        <f t="shared" ca="1" si="6"/>
        <v>49799.101571811472</v>
      </c>
      <c r="N78" s="146"/>
      <c r="O78" s="147"/>
    </row>
    <row r="79" spans="2:15" x14ac:dyDescent="0.25">
      <c r="B79" s="125">
        <v>72</v>
      </c>
      <c r="C79" s="126">
        <f t="shared" ca="1" si="4"/>
        <v>3415214.8082775492</v>
      </c>
      <c r="D79" s="126">
        <f t="shared" ca="1" si="7"/>
        <v>50560.133294681087</v>
      </c>
      <c r="E79" s="126">
        <f t="shared" ca="1" si="5"/>
        <v>772.1237602304368</v>
      </c>
      <c r="F79" s="127">
        <f t="shared" ca="1" si="6"/>
        <v>49788.009534450648</v>
      </c>
      <c r="N79" s="146"/>
      <c r="O79" s="147"/>
    </row>
    <row r="80" spans="2:15" x14ac:dyDescent="0.25">
      <c r="B80" s="125">
        <v>73</v>
      </c>
      <c r="C80" s="126">
        <f t="shared" ca="1" si="4"/>
        <v>3414431.4308135132</v>
      </c>
      <c r="D80" s="126">
        <f t="shared" ca="1" si="7"/>
        <v>50560.13329468108</v>
      </c>
      <c r="E80" s="126">
        <f t="shared" ca="1" si="5"/>
        <v>783.37746403579524</v>
      </c>
      <c r="F80" s="127">
        <f t="shared" ca="1" si="6"/>
        <v>49776.755830645285</v>
      </c>
      <c r="N80" s="146"/>
      <c r="O80" s="147"/>
    </row>
    <row r="81" spans="2:15" x14ac:dyDescent="0.25">
      <c r="B81" s="125">
        <v>74</v>
      </c>
      <c r="C81" s="126">
        <f t="shared" ca="1" si="4"/>
        <v>3413636.6356229391</v>
      </c>
      <c r="D81" s="126">
        <f t="shared" ca="1" si="7"/>
        <v>50560.13329468108</v>
      </c>
      <c r="E81" s="126">
        <f t="shared" ca="1" si="5"/>
        <v>794.79519057411653</v>
      </c>
      <c r="F81" s="127">
        <f t="shared" ca="1" si="6"/>
        <v>49765.338104106966</v>
      </c>
      <c r="N81" s="146"/>
      <c r="O81" s="147"/>
    </row>
    <row r="82" spans="2:15" x14ac:dyDescent="0.25">
      <c r="B82" s="125">
        <v>75</v>
      </c>
      <c r="C82" s="126">
        <f t="shared" ca="1" si="4"/>
        <v>3412830.2562924623</v>
      </c>
      <c r="D82" s="126">
        <f t="shared" ca="1" si="7"/>
        <v>50560.13329468108</v>
      </c>
      <c r="E82" s="126">
        <f t="shared" ca="1" si="5"/>
        <v>806.37933047673482</v>
      </c>
      <c r="F82" s="127">
        <f t="shared" ca="1" si="6"/>
        <v>49753.753964204348</v>
      </c>
      <c r="N82" s="146"/>
      <c r="O82" s="147"/>
    </row>
    <row r="83" spans="2:15" x14ac:dyDescent="0.25">
      <c r="B83" s="125">
        <v>76</v>
      </c>
      <c r="C83" s="126">
        <f t="shared" ca="1" si="4"/>
        <v>3412012.1239832439</v>
      </c>
      <c r="D83" s="126">
        <f t="shared" ca="1" si="7"/>
        <v>50560.13329468108</v>
      </c>
      <c r="E83" s="126">
        <f t="shared" ca="1" si="5"/>
        <v>818.13230921843285</v>
      </c>
      <c r="F83" s="127">
        <f t="shared" ca="1" si="6"/>
        <v>49742.000985462648</v>
      </c>
      <c r="N83" s="146"/>
      <c r="O83" s="147"/>
    </row>
    <row r="84" spans="2:15" x14ac:dyDescent="0.25">
      <c r="B84" s="125">
        <v>77</v>
      </c>
      <c r="C84" s="126">
        <f t="shared" ca="1" si="4"/>
        <v>3411182.0673956187</v>
      </c>
      <c r="D84" s="126">
        <f t="shared" ca="1" si="7"/>
        <v>50560.133294681087</v>
      </c>
      <c r="E84" s="126">
        <f t="shared" ca="1" si="5"/>
        <v>830.05658762529197</v>
      </c>
      <c r="F84" s="127">
        <f t="shared" ca="1" si="6"/>
        <v>49730.076707055792</v>
      </c>
      <c r="N84" s="146"/>
      <c r="O84" s="147"/>
    </row>
    <row r="85" spans="2:15" x14ac:dyDescent="0.25">
      <c r="B85" s="125">
        <v>78</v>
      </c>
      <c r="C85" s="126">
        <f t="shared" ref="C85:C148" ca="1" si="8">C84-E85</f>
        <v>3410339.9127332289</v>
      </c>
      <c r="D85" s="126">
        <f t="shared" ca="1" si="7"/>
        <v>50560.13329468108</v>
      </c>
      <c r="E85" s="126">
        <f t="shared" ca="1" si="5"/>
        <v>842.15466238993019</v>
      </c>
      <c r="F85" s="127">
        <f t="shared" ca="1" si="6"/>
        <v>49717.978632291153</v>
      </c>
      <c r="N85" s="146"/>
      <c r="O85" s="147"/>
    </row>
    <row r="86" spans="2:15" x14ac:dyDescent="0.25">
      <c r="B86" s="125">
        <v>79</v>
      </c>
      <c r="C86" s="126">
        <f t="shared" ca="1" si="8"/>
        <v>3409485.4836666347</v>
      </c>
      <c r="D86" s="126">
        <f t="shared" ca="1" si="7"/>
        <v>50560.13329468108</v>
      </c>
      <c r="E86" s="126">
        <f t="shared" ca="1" si="5"/>
        <v>854.4290665942633</v>
      </c>
      <c r="F86" s="127">
        <f t="shared" ca="1" si="6"/>
        <v>49705.704228086819</v>
      </c>
      <c r="N86" s="146"/>
      <c r="O86" s="147"/>
    </row>
    <row r="87" spans="2:15" x14ac:dyDescent="0.25">
      <c r="B87" s="125">
        <v>80</v>
      </c>
      <c r="C87" s="126">
        <f t="shared" ca="1" si="8"/>
        <v>3408618.6012963946</v>
      </c>
      <c r="D87" s="126">
        <f t="shared" ca="1" si="7"/>
        <v>50560.13329468108</v>
      </c>
      <c r="E87" s="126">
        <f t="shared" ca="1" si="5"/>
        <v>866.88237023987506</v>
      </c>
      <c r="F87" s="127">
        <f t="shared" ca="1" si="6"/>
        <v>49693.250924441207</v>
      </c>
      <c r="N87" s="146"/>
      <c r="O87" s="147"/>
    </row>
    <row r="88" spans="2:15" x14ac:dyDescent="0.25">
      <c r="B88" s="125">
        <v>81</v>
      </c>
      <c r="C88" s="126">
        <f t="shared" ca="1" si="8"/>
        <v>3407739.0841156086</v>
      </c>
      <c r="D88" s="126">
        <f t="shared" ca="1" si="7"/>
        <v>50560.13329468108</v>
      </c>
      <c r="E88" s="126">
        <f t="shared" ca="1" si="5"/>
        <v>879.51718078612089</v>
      </c>
      <c r="F88" s="127">
        <f t="shared" ca="1" si="6"/>
        <v>49680.616113894961</v>
      </c>
      <c r="N88" s="146"/>
      <c r="O88" s="147"/>
    </row>
    <row r="89" spans="2:15" x14ac:dyDescent="0.25">
      <c r="B89" s="125">
        <v>82</v>
      </c>
      <c r="C89" s="126">
        <f t="shared" ca="1" si="8"/>
        <v>3406846.7479719124</v>
      </c>
      <c r="D89" s="126">
        <f t="shared" ca="1" si="7"/>
        <v>50560.13329468108</v>
      </c>
      <c r="E89" s="126">
        <f t="shared" ca="1" si="5"/>
        <v>892.33614369607915</v>
      </c>
      <c r="F89" s="127">
        <f t="shared" ca="1" si="6"/>
        <v>49667.797150985003</v>
      </c>
      <c r="N89" s="146"/>
      <c r="O89" s="147"/>
    </row>
    <row r="90" spans="2:15" x14ac:dyDescent="0.25">
      <c r="B90" s="125">
        <v>83</v>
      </c>
      <c r="C90" s="126">
        <f t="shared" ca="1" si="8"/>
        <v>3405941.4060289217</v>
      </c>
      <c r="D90" s="126">
        <f t="shared" ca="1" si="7"/>
        <v>50560.13329468108</v>
      </c>
      <c r="E90" s="126">
        <f t="shared" ca="1" si="5"/>
        <v>905.34194299044918</v>
      </c>
      <c r="F90" s="127">
        <f t="shared" ca="1" si="6"/>
        <v>49654.791351690634</v>
      </c>
      <c r="N90" s="146"/>
      <c r="O90" s="147"/>
    </row>
    <row r="91" spans="2:15" x14ac:dyDescent="0.25">
      <c r="B91" s="125">
        <v>84</v>
      </c>
      <c r="C91" s="126">
        <f t="shared" ca="1" si="8"/>
        <v>3405022.8687271122</v>
      </c>
      <c r="D91" s="126">
        <f t="shared" ca="1" si="7"/>
        <v>50560.13329468108</v>
      </c>
      <c r="E91" s="126">
        <f t="shared" ca="1" si="5"/>
        <v>918.53730180953471</v>
      </c>
      <c r="F91" s="127">
        <f t="shared" ca="1" si="6"/>
        <v>49641.595992871546</v>
      </c>
      <c r="N91" s="146"/>
      <c r="O91" s="147"/>
    </row>
    <row r="92" spans="2:15" x14ac:dyDescent="0.25">
      <c r="B92" s="125">
        <v>85</v>
      </c>
      <c r="C92" s="126">
        <f t="shared" ca="1" si="8"/>
        <v>3404090.9437441286</v>
      </c>
      <c r="D92" s="126">
        <f t="shared" ca="1" si="7"/>
        <v>50560.13329468108</v>
      </c>
      <c r="E92" s="126">
        <f t="shared" ca="1" si="5"/>
        <v>931.92498298340911</v>
      </c>
      <c r="F92" s="127">
        <f t="shared" ca="1" si="6"/>
        <v>49628.208311697672</v>
      </c>
      <c r="N92" s="146"/>
      <c r="O92" s="147"/>
    </row>
    <row r="93" spans="2:15" x14ac:dyDescent="0.25">
      <c r="B93" s="125">
        <v>86</v>
      </c>
      <c r="C93" s="126">
        <f t="shared" ca="1" si="8"/>
        <v>3403145.4359545182</v>
      </c>
      <c r="D93" s="126">
        <f t="shared" ca="1" si="7"/>
        <v>50560.133294681073</v>
      </c>
      <c r="E93" s="126">
        <f t="shared" ca="1" si="5"/>
        <v>945.50778961039248</v>
      </c>
      <c r="F93" s="127">
        <f t="shared" ca="1" si="6"/>
        <v>49614.625505070682</v>
      </c>
      <c r="N93" s="146"/>
      <c r="O93" s="147"/>
    </row>
    <row r="94" spans="2:15" x14ac:dyDescent="0.25">
      <c r="B94" s="125">
        <v>87</v>
      </c>
      <c r="C94" s="126">
        <f t="shared" ca="1" si="8"/>
        <v>3402186.1473888741</v>
      </c>
      <c r="D94" s="126">
        <f t="shared" ca="1" si="7"/>
        <v>50560.13329468108</v>
      </c>
      <c r="E94" s="126">
        <f t="shared" ca="1" si="5"/>
        <v>959.28856564396347</v>
      </c>
      <c r="F94" s="127">
        <f t="shared" ca="1" si="6"/>
        <v>49600.844729037119</v>
      </c>
      <c r="N94" s="146"/>
      <c r="O94" s="147"/>
    </row>
    <row r="95" spans="2:15" x14ac:dyDescent="0.25">
      <c r="B95" s="125">
        <v>88</v>
      </c>
      <c r="C95" s="126">
        <f t="shared" ca="1" si="8"/>
        <v>3401212.877192386</v>
      </c>
      <c r="D95" s="126">
        <f t="shared" ca="1" si="7"/>
        <v>50560.13329468108</v>
      </c>
      <c r="E95" s="126">
        <f t="shared" ca="1" si="5"/>
        <v>973.27019648822443</v>
      </c>
      <c r="F95" s="127">
        <f t="shared" ca="1" si="6"/>
        <v>49586.863098192858</v>
      </c>
      <c r="N95" s="146"/>
      <c r="O95" s="147"/>
    </row>
    <row r="96" spans="2:15" x14ac:dyDescent="0.25">
      <c r="B96" s="125">
        <v>89</v>
      </c>
      <c r="C96" s="126">
        <f t="shared" ca="1" si="8"/>
        <v>3400225.421582784</v>
      </c>
      <c r="D96" s="126">
        <f t="shared" ca="1" si="7"/>
        <v>50560.13329468108</v>
      </c>
      <c r="E96" s="126">
        <f t="shared" ca="1" si="5"/>
        <v>987.45560960204034</v>
      </c>
      <c r="F96" s="127">
        <f t="shared" ca="1" si="6"/>
        <v>49572.677685079041</v>
      </c>
      <c r="N96" s="146"/>
      <c r="O96" s="147"/>
    </row>
    <row r="97" spans="2:15" x14ac:dyDescent="0.25">
      <c r="B97" s="125">
        <v>90</v>
      </c>
      <c r="C97" s="126">
        <f t="shared" ca="1" si="8"/>
        <v>3399223.5738076721</v>
      </c>
      <c r="D97" s="126">
        <f t="shared" ca="1" si="7"/>
        <v>50560.13329468108</v>
      </c>
      <c r="E97" s="126">
        <f t="shared" ca="1" si="5"/>
        <v>1001.84777511199</v>
      </c>
      <c r="F97" s="127">
        <f t="shared" ca="1" si="6"/>
        <v>49558.285519569086</v>
      </c>
      <c r="N97" s="146"/>
      <c r="O97" s="147"/>
    </row>
    <row r="98" spans="2:15" x14ac:dyDescent="0.25">
      <c r="B98" s="125">
        <v>91</v>
      </c>
      <c r="C98" s="126">
        <f t="shared" ca="1" si="8"/>
        <v>3398207.1241012379</v>
      </c>
      <c r="D98" s="126">
        <f t="shared" ca="1" si="7"/>
        <v>50560.13329468108</v>
      </c>
      <c r="E98" s="126">
        <f t="shared" ca="1" si="5"/>
        <v>1016.4497064342473</v>
      </c>
      <c r="F98" s="127">
        <f t="shared" ca="1" si="6"/>
        <v>49543.683588246829</v>
      </c>
      <c r="N98" s="146"/>
      <c r="O98" s="147"/>
    </row>
    <row r="99" spans="2:15" x14ac:dyDescent="0.25">
      <c r="B99" s="125">
        <v>92</v>
      </c>
      <c r="C99" s="126">
        <f t="shared" ca="1" si="8"/>
        <v>3397175.8596403324</v>
      </c>
      <c r="D99" s="126">
        <f t="shared" ca="1" si="7"/>
        <v>50560.13329468108</v>
      </c>
      <c r="E99" s="126">
        <f t="shared" ca="1" si="5"/>
        <v>1031.2644609055262</v>
      </c>
      <c r="F99" s="127">
        <f t="shared" ca="1" si="6"/>
        <v>49528.868833775552</v>
      </c>
      <c r="N99" s="146"/>
      <c r="O99" s="147"/>
    </row>
    <row r="100" spans="2:15" x14ac:dyDescent="0.25">
      <c r="B100" s="125">
        <v>93</v>
      </c>
      <c r="C100" s="126">
        <f t="shared" ca="1" si="8"/>
        <v>3396129.5644999091</v>
      </c>
      <c r="D100" s="126">
        <f t="shared" ca="1" si="7"/>
        <v>50560.13329468108</v>
      </c>
      <c r="E100" s="126">
        <f t="shared" ca="1" si="5"/>
        <v>1046.2951404232242</v>
      </c>
      <c r="F100" s="127">
        <f t="shared" ca="1" si="6"/>
        <v>49513.838154257857</v>
      </c>
      <c r="N100" s="146"/>
      <c r="O100" s="147"/>
    </row>
    <row r="101" spans="2:15" x14ac:dyDescent="0.25">
      <c r="B101" s="125">
        <v>94</v>
      </c>
      <c r="C101" s="126">
        <f t="shared" ca="1" si="8"/>
        <v>3395068.019607814</v>
      </c>
      <c r="D101" s="126">
        <f t="shared" ca="1" si="7"/>
        <v>50560.13329468108</v>
      </c>
      <c r="E101" s="126">
        <f t="shared" ca="1" si="5"/>
        <v>1061.5448920948932</v>
      </c>
      <c r="F101" s="127">
        <f t="shared" ca="1" si="6"/>
        <v>49498.588402586189</v>
      </c>
      <c r="N101" s="146"/>
      <c r="O101" s="147"/>
    </row>
    <row r="102" spans="2:15" x14ac:dyDescent="0.25">
      <c r="B102" s="125">
        <v>95</v>
      </c>
      <c r="C102" s="126">
        <f t="shared" ca="1" si="8"/>
        <v>3393991.0026989169</v>
      </c>
      <c r="D102" s="126">
        <f t="shared" ca="1" si="7"/>
        <v>50560.13329468108</v>
      </c>
      <c r="E102" s="126">
        <f t="shared" ca="1" si="5"/>
        <v>1077.0169088971763</v>
      </c>
      <c r="F102" s="127">
        <f t="shared" ca="1" si="6"/>
        <v>49483.116385783906</v>
      </c>
      <c r="N102" s="146"/>
      <c r="O102" s="147"/>
    </row>
    <row r="103" spans="2:15" x14ac:dyDescent="0.25">
      <c r="B103" s="125">
        <v>96</v>
      </c>
      <c r="C103" s="126">
        <f t="shared" ca="1" si="8"/>
        <v>3392898.2882685727</v>
      </c>
      <c r="D103" s="126">
        <f t="shared" ca="1" si="7"/>
        <v>50560.133294681073</v>
      </c>
      <c r="E103" s="126">
        <f t="shared" ca="1" si="5"/>
        <v>1092.7144303443526</v>
      </c>
      <c r="F103" s="127">
        <f t="shared" ca="1" si="6"/>
        <v>49467.418864336723</v>
      </c>
      <c r="N103" s="146"/>
      <c r="O103" s="147"/>
    </row>
    <row r="104" spans="2:15" x14ac:dyDescent="0.25">
      <c r="B104" s="125">
        <v>97</v>
      </c>
      <c r="C104" s="126">
        <f t="shared" ca="1" si="8"/>
        <v>3391789.647525406</v>
      </c>
      <c r="D104" s="126">
        <f t="shared" ca="1" si="7"/>
        <v>50560.13329468108</v>
      </c>
      <c r="E104" s="126">
        <f t="shared" ca="1" si="5"/>
        <v>1108.6407431666214</v>
      </c>
      <c r="F104" s="127">
        <f t="shared" ca="1" si="6"/>
        <v>49451.492551514457</v>
      </c>
      <c r="N104" s="146"/>
      <c r="O104" s="147"/>
    </row>
    <row r="105" spans="2:15" x14ac:dyDescent="0.25">
      <c r="B105" s="125">
        <v>98</v>
      </c>
      <c r="C105" s="126">
        <f t="shared" ca="1" si="8"/>
        <v>3390664.8483434077</v>
      </c>
      <c r="D105" s="126">
        <f t="shared" ca="1" si="7"/>
        <v>50560.133294681087</v>
      </c>
      <c r="E105" s="126">
        <f t="shared" ca="1" si="5"/>
        <v>1124.7991819982747</v>
      </c>
      <c r="F105" s="127">
        <f t="shared" ca="1" si="6"/>
        <v>49435.334112682809</v>
      </c>
      <c r="N105" s="146"/>
      <c r="O105" s="147"/>
    </row>
    <row r="106" spans="2:15" x14ac:dyDescent="0.25">
      <c r="B106" s="125">
        <v>99</v>
      </c>
      <c r="C106" s="126">
        <f t="shared" ca="1" si="8"/>
        <v>3389523.6552133318</v>
      </c>
      <c r="D106" s="126">
        <f t="shared" ca="1" si="7"/>
        <v>50560.13329468108</v>
      </c>
      <c r="E106" s="126">
        <f t="shared" ca="1" si="5"/>
        <v>1141.1931300758997</v>
      </c>
      <c r="F106" s="127">
        <f t="shared" ca="1" si="6"/>
        <v>49418.940164605177</v>
      </c>
      <c r="N106" s="146"/>
      <c r="O106" s="147"/>
    </row>
    <row r="107" spans="2:15" x14ac:dyDescent="0.25">
      <c r="B107" s="125">
        <v>100</v>
      </c>
      <c r="C107" s="126">
        <f t="shared" ca="1" si="8"/>
        <v>3388365.8291933849</v>
      </c>
      <c r="D107" s="126">
        <f t="shared" ca="1" si="7"/>
        <v>50560.133294681087</v>
      </c>
      <c r="E107" s="126">
        <f t="shared" ca="1" si="5"/>
        <v>1157.8260199467559</v>
      </c>
      <c r="F107" s="127">
        <f t="shared" ca="1" si="6"/>
        <v>49402.307274734332</v>
      </c>
      <c r="N107" s="146"/>
      <c r="O107" s="147"/>
    </row>
    <row r="108" spans="2:15" x14ac:dyDescent="0.25">
      <c r="B108" s="125">
        <v>101</v>
      </c>
      <c r="C108" s="126">
        <f t="shared" ca="1" si="8"/>
        <v>3387191.1278591976</v>
      </c>
      <c r="D108" s="126">
        <f t="shared" ca="1" si="7"/>
        <v>50560.13329468108</v>
      </c>
      <c r="E108" s="126">
        <f t="shared" ca="1" si="5"/>
        <v>1174.7013341874799</v>
      </c>
      <c r="F108" s="127">
        <f t="shared" ca="1" si="6"/>
        <v>49385.431960493603</v>
      </c>
      <c r="N108" s="146"/>
      <c r="O108" s="147"/>
    </row>
    <row r="109" spans="2:15" x14ac:dyDescent="0.25">
      <c r="B109" s="125">
        <v>102</v>
      </c>
      <c r="C109" s="126">
        <f t="shared" ca="1" si="8"/>
        <v>3385999.3052530643</v>
      </c>
      <c r="D109" s="126">
        <f t="shared" ca="1" si="7"/>
        <v>50560.13329468108</v>
      </c>
      <c r="E109" s="126">
        <f t="shared" ca="1" si="5"/>
        <v>1191.8226061332625</v>
      </c>
      <c r="F109" s="127">
        <f t="shared" ca="1" si="6"/>
        <v>49368.310688547819</v>
      </c>
      <c r="N109" s="146"/>
      <c r="O109" s="147"/>
    </row>
    <row r="110" spans="2:15" x14ac:dyDescent="0.25">
      <c r="B110" s="125">
        <v>103</v>
      </c>
      <c r="C110" s="126">
        <f t="shared" ca="1" si="8"/>
        <v>3384790.1118324464</v>
      </c>
      <c r="D110" s="126">
        <f t="shared" ca="1" si="7"/>
        <v>50560.13329468108</v>
      </c>
      <c r="E110" s="126">
        <f t="shared" ca="1" si="5"/>
        <v>1209.1934206176545</v>
      </c>
      <c r="F110" s="127">
        <f t="shared" ca="1" si="6"/>
        <v>49350.939874063428</v>
      </c>
      <c r="N110" s="146"/>
      <c r="O110" s="147"/>
    </row>
    <row r="111" spans="2:15" x14ac:dyDescent="0.25">
      <c r="B111" s="125">
        <v>104</v>
      </c>
      <c r="C111" s="126">
        <f t="shared" ca="1" si="8"/>
        <v>3383563.2944177231</v>
      </c>
      <c r="D111" s="126">
        <f t="shared" ca="1" si="7"/>
        <v>50560.13329468108</v>
      </c>
      <c r="E111" s="126">
        <f t="shared" ca="1" si="5"/>
        <v>1226.8174147231571</v>
      </c>
      <c r="F111" s="127">
        <f t="shared" ca="1" si="6"/>
        <v>49333.315879957925</v>
      </c>
      <c r="N111" s="146"/>
      <c r="O111" s="147"/>
    </row>
    <row r="112" spans="2:15" x14ac:dyDescent="0.25">
      <c r="B112" s="125">
        <v>105</v>
      </c>
      <c r="C112" s="126">
        <f t="shared" ca="1" si="8"/>
        <v>3382318.5961391805</v>
      </c>
      <c r="D112" s="126">
        <f t="shared" ca="1" si="7"/>
        <v>50560.133294681087</v>
      </c>
      <c r="E112" s="126">
        <f t="shared" ca="1" si="5"/>
        <v>1244.6982785427472</v>
      </c>
      <c r="F112" s="127">
        <f t="shared" ca="1" si="6"/>
        <v>49315.435016138341</v>
      </c>
      <c r="N112" s="146"/>
      <c r="O112" s="147"/>
    </row>
    <row r="113" spans="2:15" x14ac:dyDescent="0.25">
      <c r="B113" s="125">
        <v>106</v>
      </c>
      <c r="C113" s="126">
        <f t="shared" ca="1" si="8"/>
        <v>3381055.7563832281</v>
      </c>
      <c r="D113" s="126">
        <f t="shared" ca="1" si="7"/>
        <v>50560.133294681087</v>
      </c>
      <c r="E113" s="126">
        <f t="shared" ca="1" si="5"/>
        <v>1262.8397559525079</v>
      </c>
      <c r="F113" s="127">
        <f t="shared" ca="1" si="6"/>
        <v>49297.293538728576</v>
      </c>
      <c r="N113" s="146"/>
      <c r="O113" s="147"/>
    </row>
    <row r="114" spans="2:15" x14ac:dyDescent="0.25">
      <c r="B114" s="125">
        <v>107</v>
      </c>
      <c r="C114" s="126">
        <f t="shared" ca="1" si="8"/>
        <v>3379774.5107378326</v>
      </c>
      <c r="D114" s="126">
        <f t="shared" ca="1" si="7"/>
        <v>50560.13329468108</v>
      </c>
      <c r="E114" s="126">
        <f t="shared" ca="1" si="5"/>
        <v>1281.2456453955158</v>
      </c>
      <c r="F114" s="127">
        <f t="shared" ca="1" si="6"/>
        <v>49278.887649285563</v>
      </c>
      <c r="N114" s="146"/>
      <c r="O114" s="147"/>
    </row>
    <row r="115" spans="2:15" x14ac:dyDescent="0.25">
      <c r="B115" s="125">
        <v>108</v>
      </c>
      <c r="C115" s="126">
        <f t="shared" ca="1" si="8"/>
        <v>3378474.5909371553</v>
      </c>
      <c r="D115" s="126">
        <f t="shared" ca="1" si="7"/>
        <v>50560.133294681087</v>
      </c>
      <c r="E115" s="126">
        <f t="shared" ca="1" si="5"/>
        <v>1299.9198006771546</v>
      </c>
      <c r="F115" s="127">
        <f t="shared" ca="1" si="6"/>
        <v>49260.213494003932</v>
      </c>
      <c r="N115" s="146"/>
      <c r="O115" s="147"/>
    </row>
    <row r="116" spans="2:15" x14ac:dyDescent="0.25">
      <c r="B116" s="125">
        <v>109</v>
      </c>
      <c r="C116" s="126">
        <f t="shared" ca="1" si="8"/>
        <v>3377155.7248053835</v>
      </c>
      <c r="D116" s="126">
        <f t="shared" ca="1" si="7"/>
        <v>50560.13329468108</v>
      </c>
      <c r="E116" s="126">
        <f t="shared" ca="1" si="5"/>
        <v>1318.8661317720243</v>
      </c>
      <c r="F116" s="127">
        <f t="shared" ca="1" si="6"/>
        <v>49241.267162909055</v>
      </c>
      <c r="N116" s="146"/>
      <c r="O116" s="147"/>
    </row>
    <row r="117" spans="2:15" x14ac:dyDescent="0.25">
      <c r="B117" s="125">
        <v>110</v>
      </c>
      <c r="C117" s="126">
        <f t="shared" ca="1" si="8"/>
        <v>3375817.6361997407</v>
      </c>
      <c r="D117" s="126">
        <f t="shared" ca="1" si="7"/>
        <v>50560.13329468108</v>
      </c>
      <c r="E117" s="126">
        <f t="shared" ca="1" si="5"/>
        <v>1338.0886056426018</v>
      </c>
      <c r="F117" s="127">
        <f t="shared" ca="1" si="6"/>
        <v>49222.044689038477</v>
      </c>
      <c r="N117" s="146"/>
      <c r="O117" s="147"/>
    </row>
    <row r="118" spans="2:15" x14ac:dyDescent="0.25">
      <c r="B118" s="125">
        <v>111</v>
      </c>
      <c r="C118" s="126">
        <f t="shared" ca="1" si="8"/>
        <v>3374460.044952671</v>
      </c>
      <c r="D118" s="126">
        <f t="shared" ca="1" si="7"/>
        <v>50560.133294681087</v>
      </c>
      <c r="E118" s="126">
        <f t="shared" ca="1" si="5"/>
        <v>1357.5912470698427</v>
      </c>
      <c r="F118" s="127">
        <f t="shared" ca="1" si="6"/>
        <v>49202.542047611241</v>
      </c>
      <c r="N118" s="146"/>
      <c r="O118" s="147"/>
    </row>
    <row r="119" spans="2:15" x14ac:dyDescent="0.25">
      <c r="B119" s="125">
        <v>112</v>
      </c>
      <c r="C119" s="126">
        <f t="shared" ca="1" si="8"/>
        <v>3373082.6668131752</v>
      </c>
      <c r="D119" s="126">
        <f t="shared" ca="1" si="7"/>
        <v>50560.133294681087</v>
      </c>
      <c r="E119" s="126">
        <f t="shared" ca="1" si="5"/>
        <v>1377.3781394958858</v>
      </c>
      <c r="F119" s="127">
        <f t="shared" ca="1" si="6"/>
        <v>49182.755155185201</v>
      </c>
      <c r="N119" s="146"/>
      <c r="O119" s="147"/>
    </row>
    <row r="120" spans="2:15" x14ac:dyDescent="0.25">
      <c r="B120" s="125">
        <v>113</v>
      </c>
      <c r="C120" s="126">
        <f t="shared" ca="1" si="8"/>
        <v>3371685.2133872961</v>
      </c>
      <c r="D120" s="126">
        <f t="shared" ca="1" si="7"/>
        <v>50560.133294681087</v>
      </c>
      <c r="E120" s="126">
        <f t="shared" ca="1" si="5"/>
        <v>1397.4534258790382</v>
      </c>
      <c r="F120" s="127">
        <f t="shared" ca="1" si="6"/>
        <v>49162.67986880205</v>
      </c>
      <c r="N120" s="146"/>
      <c r="O120" s="147"/>
    </row>
    <row r="121" spans="2:15" x14ac:dyDescent="0.25">
      <c r="B121" s="125">
        <v>114</v>
      </c>
      <c r="C121" s="126">
        <f t="shared" ca="1" si="8"/>
        <v>3370267.3920777347</v>
      </c>
      <c r="D121" s="126">
        <f t="shared" ca="1" si="7"/>
        <v>50560.13329468108</v>
      </c>
      <c r="E121" s="126">
        <f t="shared" ca="1" si="5"/>
        <v>1417.8213095612248</v>
      </c>
      <c r="F121" s="127">
        <f t="shared" ca="1" si="6"/>
        <v>49142.311985119857</v>
      </c>
      <c r="N121" s="146"/>
      <c r="O121" s="147"/>
    </row>
    <row r="122" spans="2:15" x14ac:dyDescent="0.25">
      <c r="B122" s="125">
        <v>115</v>
      </c>
      <c r="C122" s="126">
        <f t="shared" ca="1" si="8"/>
        <v>3368828.9060225864</v>
      </c>
      <c r="D122" s="126">
        <f t="shared" ca="1" si="7"/>
        <v>50560.13329468108</v>
      </c>
      <c r="E122" s="126">
        <f t="shared" ca="1" si="5"/>
        <v>1438.4860551480799</v>
      </c>
      <c r="F122" s="127">
        <f t="shared" ca="1" si="6"/>
        <v>49121.647239532998</v>
      </c>
      <c r="N122" s="146"/>
      <c r="O122" s="147"/>
    </row>
    <row r="123" spans="2:15" x14ac:dyDescent="0.25">
      <c r="B123" s="125">
        <v>116</v>
      </c>
      <c r="C123" s="126">
        <f t="shared" ca="1" si="8"/>
        <v>3367369.4540331843</v>
      </c>
      <c r="D123" s="126">
        <f t="shared" ca="1" si="7"/>
        <v>50560.13329468108</v>
      </c>
      <c r="E123" s="126">
        <f t="shared" ca="1" si="5"/>
        <v>1459.4519894018633</v>
      </c>
      <c r="F123" s="127">
        <f t="shared" ca="1" si="6"/>
        <v>49100.681305279213</v>
      </c>
      <c r="N123" s="146"/>
      <c r="O123" s="147"/>
    </row>
    <row r="124" spans="2:15" x14ac:dyDescent="0.25">
      <c r="B124" s="125">
        <v>117</v>
      </c>
      <c r="C124" s="126">
        <f t="shared" ca="1" si="8"/>
        <v>3365888.7305310369</v>
      </c>
      <c r="D124" s="126">
        <f t="shared" ca="1" si="7"/>
        <v>50560.133294681087</v>
      </c>
      <c r="E124" s="126">
        <f t="shared" ca="1" si="5"/>
        <v>1480.7235021473955</v>
      </c>
      <c r="F124" s="127">
        <f t="shared" ca="1" si="6"/>
        <v>49079.40979253369</v>
      </c>
      <c r="N124" s="146"/>
      <c r="O124" s="147"/>
    </row>
    <row r="125" spans="2:15" x14ac:dyDescent="0.25">
      <c r="B125" s="125">
        <v>118</v>
      </c>
      <c r="C125" s="126">
        <f t="shared" ca="1" si="8"/>
        <v>3364386.4254838456</v>
      </c>
      <c r="D125" s="126">
        <f t="shared" ca="1" si="7"/>
        <v>50560.13329468108</v>
      </c>
      <c r="E125" s="126">
        <f t="shared" ca="1" si="5"/>
        <v>1502.305047191194</v>
      </c>
      <c r="F125" s="127">
        <f t="shared" ca="1" si="6"/>
        <v>49057.828247489888</v>
      </c>
      <c r="N125" s="146"/>
      <c r="O125" s="147"/>
    </row>
    <row r="126" spans="2:15" x14ac:dyDescent="0.25">
      <c r="B126" s="125">
        <v>119</v>
      </c>
      <c r="C126" s="126">
        <f t="shared" ca="1" si="8"/>
        <v>3362862.2243405916</v>
      </c>
      <c r="D126" s="126">
        <f t="shared" ca="1" si="7"/>
        <v>50560.133294681087</v>
      </c>
      <c r="E126" s="126">
        <f t="shared" ca="1" si="5"/>
        <v>1524.201143254005</v>
      </c>
      <c r="F126" s="127">
        <f t="shared" ca="1" si="6"/>
        <v>49035.932151427085</v>
      </c>
      <c r="N126" s="146"/>
      <c r="O126" s="147"/>
    </row>
    <row r="127" spans="2:15" x14ac:dyDescent="0.25">
      <c r="B127" s="125">
        <v>120</v>
      </c>
      <c r="C127" s="126">
        <f t="shared" ca="1" si="8"/>
        <v>3361315.8079656744</v>
      </c>
      <c r="D127" s="126">
        <f t="shared" ca="1" si="7"/>
        <v>50560.133294681087</v>
      </c>
      <c r="E127" s="126">
        <f t="shared" ca="1" si="5"/>
        <v>1546.4163749169325</v>
      </c>
      <c r="F127" s="127">
        <f t="shared" ca="1" si="6"/>
        <v>49013.716919764156</v>
      </c>
      <c r="N127" s="146"/>
      <c r="O127" s="147"/>
    </row>
    <row r="128" spans="2:15" x14ac:dyDescent="0.25">
      <c r="B128" s="125">
        <v>121</v>
      </c>
      <c r="C128" s="126">
        <f t="shared" ca="1" si="8"/>
        <v>3359746.8525720933</v>
      </c>
      <c r="D128" s="126">
        <f t="shared" ca="1" si="7"/>
        <v>50560.133294681073</v>
      </c>
      <c r="E128" s="126">
        <f t="shared" ca="1" si="5"/>
        <v>1568.9553935813467</v>
      </c>
      <c r="F128" s="127">
        <f t="shared" ca="1" si="6"/>
        <v>48991.177901099727</v>
      </c>
      <c r="N128" s="146"/>
      <c r="O128" s="147"/>
    </row>
    <row r="129" spans="2:15" x14ac:dyDescent="0.25">
      <c r="B129" s="125">
        <v>122</v>
      </c>
      <c r="C129" s="126">
        <f t="shared" ca="1" si="8"/>
        <v>3358155.0296536502</v>
      </c>
      <c r="D129" s="126">
        <f t="shared" ca="1" si="7"/>
        <v>50560.13329468108</v>
      </c>
      <c r="E129" s="126">
        <f t="shared" ca="1" si="5"/>
        <v>1591.8229184427948</v>
      </c>
      <c r="F129" s="127">
        <f t="shared" ca="1" si="6"/>
        <v>48968.310376238282</v>
      </c>
      <c r="N129" s="146"/>
      <c r="O129" s="147"/>
    </row>
    <row r="130" spans="2:15" x14ac:dyDescent="0.25">
      <c r="B130" s="125">
        <v>123</v>
      </c>
      <c r="C130" s="126">
        <f t="shared" ca="1" si="8"/>
        <v>3356540.0059161712</v>
      </c>
      <c r="D130" s="126">
        <f t="shared" ca="1" si="7"/>
        <v>50560.13329468108</v>
      </c>
      <c r="E130" s="126">
        <f t="shared" ca="1" si="5"/>
        <v>1615.0237374790991</v>
      </c>
      <c r="F130" s="127">
        <f t="shared" ca="1" si="6"/>
        <v>48945.109557201984</v>
      </c>
      <c r="N130" s="146"/>
      <c r="O130" s="147"/>
    </row>
    <row r="131" spans="2:15" x14ac:dyDescent="0.25">
      <c r="B131" s="125">
        <v>124</v>
      </c>
      <c r="C131" s="126">
        <f t="shared" ca="1" si="8"/>
        <v>3354901.4432077184</v>
      </c>
      <c r="D131" s="126">
        <f t="shared" ca="1" si="7"/>
        <v>50560.133294681073</v>
      </c>
      <c r="E131" s="126">
        <f t="shared" ca="1" si="5"/>
        <v>1638.5627084528562</v>
      </c>
      <c r="F131" s="127">
        <f t="shared" ca="1" si="6"/>
        <v>48921.570586228219</v>
      </c>
      <c r="N131" s="146"/>
      <c r="O131" s="147"/>
    </row>
    <row r="132" spans="2:15" x14ac:dyDescent="0.25">
      <c r="B132" s="125">
        <v>125</v>
      </c>
      <c r="C132" s="126">
        <f t="shared" ca="1" si="8"/>
        <v>3353238.9984477898</v>
      </c>
      <c r="D132" s="126">
        <f t="shared" ca="1" si="7"/>
        <v>50560.133294681087</v>
      </c>
      <c r="E132" s="126">
        <f t="shared" ca="1" si="5"/>
        <v>1662.4447599285568</v>
      </c>
      <c r="F132" s="127">
        <f t="shared" ca="1" si="6"/>
        <v>48897.688534752531</v>
      </c>
      <c r="N132" s="146"/>
      <c r="O132" s="147"/>
    </row>
    <row r="133" spans="2:15" x14ac:dyDescent="0.25">
      <c r="B133" s="125">
        <v>126</v>
      </c>
      <c r="C133" s="126">
        <f t="shared" ca="1" si="8"/>
        <v>3351552.3235554853</v>
      </c>
      <c r="D133" s="126">
        <f t="shared" ca="1" si="7"/>
        <v>50560.133294681087</v>
      </c>
      <c r="E133" s="126">
        <f t="shared" ca="1" si="5"/>
        <v>1686.6748923045154</v>
      </c>
      <c r="F133" s="127">
        <f t="shared" ca="1" si="6"/>
        <v>48873.458402376571</v>
      </c>
      <c r="N133" s="146"/>
      <c r="O133" s="147"/>
    </row>
    <row r="134" spans="2:15" x14ac:dyDescent="0.25">
      <c r="B134" s="125">
        <v>127</v>
      </c>
      <c r="C134" s="126">
        <f t="shared" ca="1" si="8"/>
        <v>3349841.0653766254</v>
      </c>
      <c r="D134" s="126">
        <f t="shared" ca="1" si="7"/>
        <v>50560.13329468108</v>
      </c>
      <c r="E134" s="126">
        <f t="shared" ca="1" si="5"/>
        <v>1711.2581788598541</v>
      </c>
      <c r="F134" s="127">
        <f t="shared" ca="1" si="6"/>
        <v>48848.875115821225</v>
      </c>
      <c r="N134" s="146"/>
      <c r="O134" s="147"/>
    </row>
    <row r="135" spans="2:15" x14ac:dyDescent="0.25">
      <c r="B135" s="125">
        <v>128</v>
      </c>
      <c r="C135" s="126">
        <f t="shared" ca="1" si="8"/>
        <v>3348104.8656098088</v>
      </c>
      <c r="D135" s="126">
        <f t="shared" ca="1" si="7"/>
        <v>50560.133294681087</v>
      </c>
      <c r="E135" s="126">
        <f t="shared" ca="1" si="5"/>
        <v>1736.1997668167367</v>
      </c>
      <c r="F135" s="127">
        <f t="shared" ca="1" si="6"/>
        <v>48823.933527864348</v>
      </c>
      <c r="N135" s="146"/>
      <c r="O135" s="147"/>
    </row>
    <row r="136" spans="2:15" x14ac:dyDescent="0.25">
      <c r="B136" s="125">
        <v>129</v>
      </c>
      <c r="C136" s="126">
        <f t="shared" ca="1" si="8"/>
        <v>3346343.3607313908</v>
      </c>
      <c r="D136" s="126">
        <f t="shared" ca="1" si="7"/>
        <v>50560.133294681087</v>
      </c>
      <c r="E136" s="126">
        <f t="shared" ref="E136:E199" ca="1" si="9">-IFERROR(IF(OR(B136&lt;=$J$30,$J$30=0),PPMT($J$35/12,B136,$J$12*12,$J$13),PPMT(($O$5+$J$35)/12,B136-$J$30,$J$12*12-$J$30,$J$13+CUMPRINC($J$35/12,$J$12*12,$J$13,1,$J$30,0))),0)</f>
        <v>1761.5048784180906</v>
      </c>
      <c r="F136" s="127">
        <f t="shared" ref="F136:F199" ca="1" si="10">-IF(AND($O$8,B136&lt;=$J$22),IF($H$22="Без процентов",0,0.5),1)*IFERROR(IF(OR(B136&lt;=$J$30,$J$30=0),IPMT($J$35/12,B136,$J$12*12,$J$13),IPMT(($O$5+$J$35)/12,B136-$J$30,$J$12*12-$J$30,$J$13+CUMPRINC($J$35/12,$J$12*12,$J$13,1,$J$30,0),0,0)),0)</f>
        <v>48798.628416262996</v>
      </c>
      <c r="N136" s="146"/>
      <c r="O136" s="147"/>
    </row>
    <row r="137" spans="2:15" x14ac:dyDescent="0.25">
      <c r="B137" s="125">
        <v>130</v>
      </c>
      <c r="C137" s="126">
        <f t="shared" ca="1" si="8"/>
        <v>3344556.1819193698</v>
      </c>
      <c r="D137" s="126">
        <f t="shared" ref="D137:D200" ca="1" si="11">E137+F137</f>
        <v>50560.13329468108</v>
      </c>
      <c r="E137" s="126">
        <f t="shared" ca="1" si="9"/>
        <v>1787.178812021034</v>
      </c>
      <c r="F137" s="127">
        <f t="shared" ca="1" si="10"/>
        <v>48772.954482660047</v>
      </c>
      <c r="N137" s="146"/>
      <c r="O137" s="147"/>
    </row>
    <row r="138" spans="2:15" x14ac:dyDescent="0.25">
      <c r="B138" s="125">
        <v>131</v>
      </c>
      <c r="C138" s="126">
        <f t="shared" ca="1" si="8"/>
        <v>3342742.9549761638</v>
      </c>
      <c r="D138" s="126">
        <f t="shared" ca="1" si="11"/>
        <v>50560.13329468108</v>
      </c>
      <c r="E138" s="126">
        <f t="shared" ca="1" si="9"/>
        <v>1813.2269432062405</v>
      </c>
      <c r="F138" s="127">
        <f t="shared" ca="1" si="10"/>
        <v>48746.906351474841</v>
      </c>
      <c r="N138" s="146"/>
      <c r="O138" s="147"/>
    </row>
    <row r="139" spans="2:15" x14ac:dyDescent="0.25">
      <c r="B139" s="125">
        <v>132</v>
      </c>
      <c r="C139" s="126">
        <f t="shared" ca="1" si="8"/>
        <v>3340903.3002502602</v>
      </c>
      <c r="D139" s="126">
        <f t="shared" ca="1" si="11"/>
        <v>50560.13329468108</v>
      </c>
      <c r="E139" s="126">
        <f t="shared" ca="1" si="9"/>
        <v>1839.6547259034714</v>
      </c>
      <c r="F139" s="127">
        <f t="shared" ca="1" si="10"/>
        <v>48720.478568777609</v>
      </c>
      <c r="N139" s="146"/>
      <c r="O139" s="147"/>
    </row>
    <row r="140" spans="2:15" x14ac:dyDescent="0.25">
      <c r="B140" s="125">
        <v>133</v>
      </c>
      <c r="C140" s="126">
        <f t="shared" ca="1" si="8"/>
        <v>3339036.8325567269</v>
      </c>
      <c r="D140" s="126">
        <f t="shared" ca="1" si="11"/>
        <v>50560.13329468108</v>
      </c>
      <c r="E140" s="126">
        <f t="shared" ca="1" si="9"/>
        <v>1866.4676935335149</v>
      </c>
      <c r="F140" s="127">
        <f t="shared" ca="1" si="10"/>
        <v>48693.665601147564</v>
      </c>
      <c r="N140" s="146"/>
      <c r="O140" s="147"/>
    </row>
    <row r="141" spans="2:15" x14ac:dyDescent="0.25">
      <c r="B141" s="125">
        <v>134</v>
      </c>
      <c r="C141" s="126">
        <f t="shared" ca="1" si="8"/>
        <v>3337143.1610965603</v>
      </c>
      <c r="D141" s="126">
        <f t="shared" ca="1" si="11"/>
        <v>50560.13329468108</v>
      </c>
      <c r="E141" s="126">
        <f t="shared" ca="1" si="9"/>
        <v>1893.6714601667659</v>
      </c>
      <c r="F141" s="127">
        <f t="shared" ca="1" si="10"/>
        <v>48666.461834514317</v>
      </c>
      <c r="N141" s="146"/>
      <c r="O141" s="147"/>
    </row>
    <row r="142" spans="2:15" x14ac:dyDescent="0.25">
      <c r="B142" s="125">
        <v>135</v>
      </c>
      <c r="C142" s="126">
        <f t="shared" ca="1" si="8"/>
        <v>3335221.8893748615</v>
      </c>
      <c r="D142" s="126">
        <f t="shared" ca="1" si="11"/>
        <v>50560.13329468108</v>
      </c>
      <c r="E142" s="126">
        <f t="shared" ca="1" si="9"/>
        <v>1921.271721698696</v>
      </c>
      <c r="F142" s="127">
        <f t="shared" ca="1" si="10"/>
        <v>48638.861572982387</v>
      </c>
      <c r="N142" s="146"/>
      <c r="O142" s="147"/>
    </row>
    <row r="143" spans="2:15" x14ac:dyDescent="0.25">
      <c r="B143" s="125">
        <v>136</v>
      </c>
      <c r="C143" s="126">
        <f t="shared" ca="1" si="8"/>
        <v>3333272.615117819</v>
      </c>
      <c r="D143" s="126">
        <f t="shared" ca="1" si="11"/>
        <v>50560.133294681087</v>
      </c>
      <c r="E143" s="126">
        <f t="shared" ca="1" si="9"/>
        <v>1949.2742570424548</v>
      </c>
      <c r="F143" s="127">
        <f t="shared" ca="1" si="10"/>
        <v>48610.859037638635</v>
      </c>
      <c r="N143" s="146"/>
      <c r="O143" s="147"/>
    </row>
    <row r="144" spans="2:15" x14ac:dyDescent="0.25">
      <c r="B144" s="125">
        <v>137</v>
      </c>
      <c r="C144" s="126">
        <f t="shared" ca="1" si="8"/>
        <v>3331294.9301884803</v>
      </c>
      <c r="D144" s="126">
        <f t="shared" ca="1" si="11"/>
        <v>50560.133294681087</v>
      </c>
      <c r="E144" s="126">
        <f t="shared" ca="1" si="9"/>
        <v>1977.6849293388484</v>
      </c>
      <c r="F144" s="127">
        <f t="shared" ca="1" si="10"/>
        <v>48582.448365342236</v>
      </c>
      <c r="N144" s="146"/>
      <c r="O144" s="147"/>
    </row>
    <row r="145" spans="2:15" x14ac:dyDescent="0.25">
      <c r="B145" s="125">
        <v>138</v>
      </c>
      <c r="C145" s="126">
        <f t="shared" ca="1" si="8"/>
        <v>3329288.4205012964</v>
      </c>
      <c r="D145" s="126">
        <f t="shared" ca="1" si="11"/>
        <v>50560.13329468108</v>
      </c>
      <c r="E145" s="126">
        <f t="shared" ca="1" si="9"/>
        <v>2006.5096871839623</v>
      </c>
      <c r="F145" s="127">
        <f t="shared" ca="1" si="10"/>
        <v>48553.623607497117</v>
      </c>
      <c r="N145" s="146"/>
      <c r="O145" s="147"/>
    </row>
    <row r="146" spans="2:15" x14ac:dyDescent="0.25">
      <c r="B146" s="125">
        <v>139</v>
      </c>
      <c r="C146" s="126">
        <f t="shared" ca="1" si="8"/>
        <v>3327252.6659354218</v>
      </c>
      <c r="D146" s="126">
        <f t="shared" ca="1" si="11"/>
        <v>50560.13329468108</v>
      </c>
      <c r="E146" s="126">
        <f t="shared" ca="1" si="9"/>
        <v>2035.7545658746687</v>
      </c>
      <c r="F146" s="127">
        <f t="shared" ca="1" si="10"/>
        <v>48524.378728806412</v>
      </c>
      <c r="N146" s="146"/>
      <c r="O146" s="147"/>
    </row>
    <row r="147" spans="2:15" x14ac:dyDescent="0.25">
      <c r="B147" s="125">
        <v>140</v>
      </c>
      <c r="C147" s="126">
        <f t="shared" ca="1" si="8"/>
        <v>3325187.2402467495</v>
      </c>
      <c r="D147" s="126">
        <f t="shared" ca="1" si="11"/>
        <v>50560.133294681087</v>
      </c>
      <c r="E147" s="126">
        <f t="shared" ca="1" si="9"/>
        <v>2065.4256886722915</v>
      </c>
      <c r="F147" s="127">
        <f t="shared" ca="1" si="10"/>
        <v>48494.707606008793</v>
      </c>
      <c r="N147" s="146"/>
      <c r="O147" s="147"/>
    </row>
    <row r="148" spans="2:15" x14ac:dyDescent="0.25">
      <c r="B148" s="125">
        <v>141</v>
      </c>
      <c r="C148" s="126">
        <f t="shared" ca="1" si="8"/>
        <v>3323091.7109786649</v>
      </c>
      <c r="D148" s="126">
        <f t="shared" ca="1" si="11"/>
        <v>50560.13329468108</v>
      </c>
      <c r="E148" s="126">
        <f t="shared" ca="1" si="9"/>
        <v>2095.5292680846901</v>
      </c>
      <c r="F148" s="127">
        <f t="shared" ca="1" si="10"/>
        <v>48464.604026596389</v>
      </c>
      <c r="N148" s="146"/>
      <c r="O148" s="147"/>
    </row>
    <row r="149" spans="2:15" x14ac:dyDescent="0.25">
      <c r="B149" s="125">
        <v>142</v>
      </c>
      <c r="C149" s="126">
        <f t="shared" ref="C149:C212" ca="1" si="12">C148-E149</f>
        <v>3320965.639371498</v>
      </c>
      <c r="D149" s="126">
        <f t="shared" ca="1" si="11"/>
        <v>50560.13329468108</v>
      </c>
      <c r="E149" s="126">
        <f t="shared" ca="1" si="9"/>
        <v>2126.0716071670245</v>
      </c>
      <c r="F149" s="127">
        <f t="shared" ca="1" si="10"/>
        <v>48434.061687514055</v>
      </c>
      <c r="N149" s="146"/>
      <c r="O149" s="147"/>
    </row>
    <row r="150" spans="2:15" x14ac:dyDescent="0.25">
      <c r="B150" s="125">
        <v>143</v>
      </c>
      <c r="C150" s="126">
        <f t="shared" ca="1" si="12"/>
        <v>3318808.5802706564</v>
      </c>
      <c r="D150" s="126">
        <f t="shared" ca="1" si="11"/>
        <v>50560.13329468108</v>
      </c>
      <c r="E150" s="126">
        <f t="shared" ca="1" si="9"/>
        <v>2157.0591008414845</v>
      </c>
      <c r="F150" s="127">
        <f t="shared" ca="1" si="10"/>
        <v>48403.074193839595</v>
      </c>
      <c r="N150" s="146"/>
      <c r="O150" s="147"/>
    </row>
    <row r="151" spans="2:15" x14ac:dyDescent="0.25">
      <c r="B151" s="125">
        <v>144</v>
      </c>
      <c r="C151" s="126">
        <f t="shared" ca="1" si="12"/>
        <v>3316620.08203342</v>
      </c>
      <c r="D151" s="126">
        <f t="shared" ca="1" si="11"/>
        <v>50560.13329468108</v>
      </c>
      <c r="E151" s="126">
        <f t="shared" ca="1" si="9"/>
        <v>2188.4982372362492</v>
      </c>
      <c r="F151" s="127">
        <f t="shared" ca="1" si="10"/>
        <v>48371.63505744483</v>
      </c>
      <c r="N151" s="146"/>
      <c r="O151" s="147"/>
    </row>
    <row r="152" spans="2:15" x14ac:dyDescent="0.25">
      <c r="B152" s="125">
        <v>145</v>
      </c>
      <c r="C152" s="126">
        <f t="shared" ca="1" si="12"/>
        <v>3314399.6864343761</v>
      </c>
      <c r="D152" s="126">
        <f t="shared" ca="1" si="11"/>
        <v>50560.13329468108</v>
      </c>
      <c r="E152" s="126">
        <f t="shared" ca="1" si="9"/>
        <v>2220.3955990439663</v>
      </c>
      <c r="F152" s="127">
        <f t="shared" ca="1" si="10"/>
        <v>48339.737695637115</v>
      </c>
      <c r="N152" s="146"/>
      <c r="O152" s="147"/>
    </row>
    <row r="153" spans="2:15" x14ac:dyDescent="0.25">
      <c r="B153" s="125">
        <v>146</v>
      </c>
      <c r="C153" s="126">
        <f t="shared" ca="1" si="12"/>
        <v>3312146.9285694761</v>
      </c>
      <c r="D153" s="126">
        <f t="shared" ca="1" si="11"/>
        <v>50560.133294681087</v>
      </c>
      <c r="E153" s="126">
        <f t="shared" ca="1" si="9"/>
        <v>2252.7578649000325</v>
      </c>
      <c r="F153" s="127">
        <f t="shared" ca="1" si="10"/>
        <v>48307.375429781052</v>
      </c>
      <c r="N153" s="146"/>
      <c r="O153" s="147"/>
    </row>
    <row r="154" spans="2:15" x14ac:dyDescent="0.25">
      <c r="B154" s="125">
        <v>147</v>
      </c>
      <c r="C154" s="126">
        <f t="shared" ca="1" si="12"/>
        <v>3309861.3367586951</v>
      </c>
      <c r="D154" s="126">
        <f t="shared" ca="1" si="11"/>
        <v>50560.13329468108</v>
      </c>
      <c r="E154" s="126">
        <f t="shared" ca="1" si="9"/>
        <v>2285.5918107809507</v>
      </c>
      <c r="F154" s="127">
        <f t="shared" ca="1" si="10"/>
        <v>48274.541483900131</v>
      </c>
      <c r="N154" s="146"/>
      <c r="O154" s="147"/>
    </row>
    <row r="155" spans="2:15" x14ac:dyDescent="0.25">
      <c r="B155" s="125">
        <v>148</v>
      </c>
      <c r="C155" s="126">
        <f t="shared" ca="1" si="12"/>
        <v>3307542.4324472719</v>
      </c>
      <c r="D155" s="126">
        <f t="shared" ca="1" si="11"/>
        <v>50560.13329468108</v>
      </c>
      <c r="E155" s="126">
        <f t="shared" ca="1" si="9"/>
        <v>2318.9043114230831</v>
      </c>
      <c r="F155" s="127">
        <f t="shared" ca="1" si="10"/>
        <v>48241.228983257999</v>
      </c>
      <c r="N155" s="146"/>
      <c r="O155" s="147"/>
    </row>
    <row r="156" spans="2:15" x14ac:dyDescent="0.25">
      <c r="B156" s="125">
        <v>149</v>
      </c>
      <c r="C156" s="126">
        <f t="shared" ca="1" si="12"/>
        <v>3305189.73010551</v>
      </c>
      <c r="D156" s="126">
        <f t="shared" ca="1" si="11"/>
        <v>50560.13329468108</v>
      </c>
      <c r="E156" s="126">
        <f t="shared" ca="1" si="9"/>
        <v>2352.7023417620749</v>
      </c>
      <c r="F156" s="127">
        <f t="shared" ca="1" si="10"/>
        <v>48207.430952919007</v>
      </c>
      <c r="N156" s="146"/>
      <c r="O156" s="147"/>
    </row>
    <row r="157" spans="2:15" x14ac:dyDescent="0.25">
      <c r="B157" s="125">
        <v>150</v>
      </c>
      <c r="C157" s="126">
        <f t="shared" ca="1" si="12"/>
        <v>3302802.7371271169</v>
      </c>
      <c r="D157" s="126">
        <f t="shared" ca="1" si="11"/>
        <v>50560.133294681087</v>
      </c>
      <c r="E157" s="126">
        <f t="shared" ca="1" si="9"/>
        <v>2386.9929783932571</v>
      </c>
      <c r="F157" s="127">
        <f t="shared" ca="1" si="10"/>
        <v>48173.140316287827</v>
      </c>
      <c r="N157" s="146"/>
      <c r="O157" s="147"/>
    </row>
    <row r="158" spans="2:15" x14ac:dyDescent="0.25">
      <c r="B158" s="125">
        <v>151</v>
      </c>
      <c r="C158" s="126">
        <f t="shared" ca="1" si="12"/>
        <v>3300380.9537260635</v>
      </c>
      <c r="D158" s="126">
        <f t="shared" ca="1" si="11"/>
        <v>50560.13329468108</v>
      </c>
      <c r="E158" s="126">
        <f t="shared" ca="1" si="9"/>
        <v>2421.7834010533379</v>
      </c>
      <c r="F158" s="127">
        <f t="shared" ca="1" si="10"/>
        <v>48138.349893627739</v>
      </c>
      <c r="N158" s="146"/>
      <c r="O158" s="147"/>
    </row>
    <row r="159" spans="2:15" x14ac:dyDescent="0.25">
      <c r="B159" s="125">
        <v>152</v>
      </c>
      <c r="C159" s="126">
        <f t="shared" ca="1" si="12"/>
        <v>3297923.8728319397</v>
      </c>
      <c r="D159" s="126">
        <f t="shared" ca="1" si="11"/>
        <v>50560.133294681087</v>
      </c>
      <c r="E159" s="126">
        <f t="shared" ca="1" si="9"/>
        <v>2457.080894123691</v>
      </c>
      <c r="F159" s="127">
        <f t="shared" ca="1" si="10"/>
        <v>48103.052400557397</v>
      </c>
      <c r="N159" s="146"/>
      <c r="O159" s="147"/>
    </row>
    <row r="160" spans="2:15" x14ac:dyDescent="0.25">
      <c r="B160" s="125">
        <v>153</v>
      </c>
      <c r="C160" s="126">
        <f t="shared" ca="1" si="12"/>
        <v>3295430.9799837843</v>
      </c>
      <c r="D160" s="126">
        <f t="shared" ca="1" si="11"/>
        <v>50560.13329468108</v>
      </c>
      <c r="E160" s="126">
        <f t="shared" ca="1" si="9"/>
        <v>2492.892848155544</v>
      </c>
      <c r="F160" s="127">
        <f t="shared" ca="1" si="10"/>
        <v>48067.240446525539</v>
      </c>
      <c r="N160" s="146"/>
      <c r="O160" s="147"/>
    </row>
    <row r="161" spans="2:15" x14ac:dyDescent="0.25">
      <c r="B161" s="125">
        <v>154</v>
      </c>
      <c r="C161" s="126">
        <f t="shared" ca="1" si="12"/>
        <v>3292901.7532223668</v>
      </c>
      <c r="D161" s="126">
        <f t="shared" ca="1" si="11"/>
        <v>50560.13329468108</v>
      </c>
      <c r="E161" s="126">
        <f t="shared" ca="1" si="9"/>
        <v>2529.2267614174111</v>
      </c>
      <c r="F161" s="127">
        <f t="shared" ca="1" si="10"/>
        <v>48030.906533263667</v>
      </c>
      <c r="N161" s="146"/>
      <c r="O161" s="147"/>
    </row>
    <row r="162" spans="2:15" x14ac:dyDescent="0.25">
      <c r="B162" s="125">
        <v>155</v>
      </c>
      <c r="C162" s="126">
        <f t="shared" ca="1" si="12"/>
        <v>3290335.6629809015</v>
      </c>
      <c r="D162" s="126">
        <f t="shared" ca="1" si="11"/>
        <v>50560.13329468108</v>
      </c>
      <c r="E162" s="126">
        <f t="shared" ca="1" si="9"/>
        <v>2566.09024146507</v>
      </c>
      <c r="F162" s="127">
        <f t="shared" ca="1" si="10"/>
        <v>47994.04305321601</v>
      </c>
      <c r="N162" s="146"/>
      <c r="O162" s="147"/>
    </row>
    <row r="163" spans="2:15" x14ac:dyDescent="0.25">
      <c r="B163" s="125">
        <v>156</v>
      </c>
      <c r="C163" s="126">
        <f t="shared" ca="1" si="12"/>
        <v>3287732.1719741672</v>
      </c>
      <c r="D163" s="126">
        <f t="shared" ca="1" si="11"/>
        <v>50560.13329468108</v>
      </c>
      <c r="E163" s="126">
        <f t="shared" ca="1" si="9"/>
        <v>2603.4910067344222</v>
      </c>
      <c r="F163" s="127">
        <f t="shared" ca="1" si="10"/>
        <v>47956.642287946655</v>
      </c>
      <c r="N163" s="146"/>
      <c r="O163" s="147"/>
    </row>
    <row r="164" spans="2:15" x14ac:dyDescent="0.25">
      <c r="B164" s="125">
        <v>157</v>
      </c>
      <c r="C164" s="126">
        <f t="shared" ca="1" si="12"/>
        <v>3285090.7350860098</v>
      </c>
      <c r="D164" s="126">
        <f t="shared" ca="1" si="11"/>
        <v>50560.133294681087</v>
      </c>
      <c r="E164" s="126">
        <f t="shared" ca="1" si="9"/>
        <v>2641.436888157577</v>
      </c>
      <c r="F164" s="127">
        <f t="shared" ca="1" si="10"/>
        <v>47918.696406523508</v>
      </c>
      <c r="N164" s="146"/>
      <c r="O164" s="147"/>
    </row>
    <row r="165" spans="2:15" x14ac:dyDescent="0.25">
      <c r="B165" s="125">
        <v>158</v>
      </c>
      <c r="C165" s="126">
        <f t="shared" ca="1" si="12"/>
        <v>3282410.7992552072</v>
      </c>
      <c r="D165" s="126">
        <f t="shared" ca="1" si="11"/>
        <v>50560.13329468108</v>
      </c>
      <c r="E165" s="126">
        <f t="shared" ca="1" si="9"/>
        <v>2679.9358308024739</v>
      </c>
      <c r="F165" s="127">
        <f t="shared" ca="1" si="10"/>
        <v>47880.197463878605</v>
      </c>
      <c r="N165" s="146"/>
      <c r="O165" s="147"/>
    </row>
    <row r="166" spans="2:15" x14ac:dyDescent="0.25">
      <c r="B166" s="125">
        <v>159</v>
      </c>
      <c r="C166" s="126">
        <f t="shared" ca="1" si="12"/>
        <v>3279691.8033596706</v>
      </c>
      <c r="D166" s="126">
        <f t="shared" ca="1" si="11"/>
        <v>50560.13329468108</v>
      </c>
      <c r="E166" s="126">
        <f t="shared" ca="1" si="9"/>
        <v>2718.99589553642</v>
      </c>
      <c r="F166" s="127">
        <f t="shared" ca="1" si="10"/>
        <v>47841.13739914466</v>
      </c>
      <c r="N166" s="146"/>
      <c r="O166" s="147"/>
    </row>
    <row r="167" spans="2:15" x14ac:dyDescent="0.25">
      <c r="B167" s="125">
        <v>160</v>
      </c>
      <c r="C167" s="126">
        <f t="shared" ca="1" si="12"/>
        <v>3276933.1780989566</v>
      </c>
      <c r="D167" s="126">
        <f t="shared" ca="1" si="11"/>
        <v>50560.133294681087</v>
      </c>
      <c r="E167" s="126">
        <f t="shared" ca="1" si="9"/>
        <v>2758.6252607138636</v>
      </c>
      <c r="F167" s="127">
        <f t="shared" ca="1" si="10"/>
        <v>47801.50803396722</v>
      </c>
      <c r="N167" s="146"/>
      <c r="O167" s="147"/>
    </row>
    <row r="168" spans="2:15" x14ac:dyDescent="0.25">
      <c r="B168" s="125">
        <v>161</v>
      </c>
      <c r="C168" s="126">
        <f t="shared" ca="1" si="12"/>
        <v>3274134.3458750676</v>
      </c>
      <c r="D168" s="126">
        <f t="shared" ca="1" si="11"/>
        <v>50560.133294681087</v>
      </c>
      <c r="E168" s="126">
        <f t="shared" ca="1" si="9"/>
        <v>2798.8322238887681</v>
      </c>
      <c r="F168" s="127">
        <f t="shared" ca="1" si="10"/>
        <v>47761.301070792317</v>
      </c>
      <c r="N168" s="146"/>
      <c r="O168" s="147"/>
    </row>
    <row r="169" spans="2:15" x14ac:dyDescent="0.25">
      <c r="B169" s="125">
        <v>162</v>
      </c>
      <c r="C169" s="126">
        <f t="shared" ca="1" si="12"/>
        <v>3271294.7206715159</v>
      </c>
      <c r="D169" s="126">
        <f t="shared" ca="1" si="11"/>
        <v>50560.133294681087</v>
      </c>
      <c r="E169" s="126">
        <f t="shared" ca="1" si="9"/>
        <v>2839.6252035519465</v>
      </c>
      <c r="F169" s="127">
        <f t="shared" ca="1" si="10"/>
        <v>47720.508091129137</v>
      </c>
      <c r="N169" s="146"/>
      <c r="O169" s="147"/>
    </row>
    <row r="170" spans="2:15" x14ac:dyDescent="0.25">
      <c r="B170" s="125">
        <v>163</v>
      </c>
      <c r="C170" s="126">
        <f t="shared" ca="1" si="12"/>
        <v>3268413.7079306222</v>
      </c>
      <c r="D170" s="126">
        <f t="shared" ca="1" si="11"/>
        <v>50560.133294681087</v>
      </c>
      <c r="E170" s="126">
        <f t="shared" ca="1" si="9"/>
        <v>2881.012740893716</v>
      </c>
      <c r="F170" s="127">
        <f t="shared" ca="1" si="10"/>
        <v>47679.120553787368</v>
      </c>
      <c r="N170" s="146"/>
      <c r="O170" s="147"/>
    </row>
    <row r="171" spans="2:15" x14ac:dyDescent="0.25">
      <c r="B171" s="125">
        <v>164</v>
      </c>
      <c r="C171" s="126">
        <f t="shared" ca="1" si="12"/>
        <v>3265490.70442903</v>
      </c>
      <c r="D171" s="126">
        <f t="shared" ca="1" si="11"/>
        <v>50560.133294681087</v>
      </c>
      <c r="E171" s="126">
        <f t="shared" ca="1" si="9"/>
        <v>2923.0035015922422</v>
      </c>
      <c r="F171" s="127">
        <f t="shared" ca="1" si="10"/>
        <v>47637.129793088847</v>
      </c>
      <c r="N171" s="146"/>
      <c r="O171" s="147"/>
    </row>
    <row r="172" spans="2:15" x14ac:dyDescent="0.25">
      <c r="B172" s="125">
        <v>165</v>
      </c>
      <c r="C172" s="126">
        <f t="shared" ca="1" si="12"/>
        <v>3262525.0981514021</v>
      </c>
      <c r="D172" s="126">
        <f t="shared" ca="1" si="11"/>
        <v>50560.13329468108</v>
      </c>
      <c r="E172" s="126">
        <f t="shared" ca="1" si="9"/>
        <v>2965.6062776279496</v>
      </c>
      <c r="F172" s="127">
        <f t="shared" ca="1" si="10"/>
        <v>47594.527017053129</v>
      </c>
      <c r="N172" s="146"/>
      <c r="O172" s="147"/>
    </row>
    <row r="173" spans="2:15" x14ac:dyDescent="0.25">
      <c r="B173" s="125">
        <v>166</v>
      </c>
      <c r="C173" s="126">
        <f t="shared" ca="1" si="12"/>
        <v>3259516.2681622775</v>
      </c>
      <c r="D173" s="126">
        <f t="shared" ca="1" si="11"/>
        <v>50560.133294681087</v>
      </c>
      <c r="E173" s="126">
        <f t="shared" ca="1" si="9"/>
        <v>3008.8299891243769</v>
      </c>
      <c r="F173" s="127">
        <f t="shared" ca="1" si="10"/>
        <v>47551.303305556707</v>
      </c>
      <c r="N173" s="146"/>
      <c r="O173" s="147"/>
    </row>
    <row r="174" spans="2:15" x14ac:dyDescent="0.25">
      <c r="B174" s="125">
        <v>167</v>
      </c>
      <c r="C174" s="126">
        <f t="shared" ca="1" si="12"/>
        <v>3256463.5844760616</v>
      </c>
      <c r="D174" s="126">
        <f t="shared" ca="1" si="11"/>
        <v>50560.133294681087</v>
      </c>
      <c r="E174" s="126">
        <f t="shared" ca="1" si="9"/>
        <v>3052.6836862158639</v>
      </c>
      <c r="F174" s="127">
        <f t="shared" ca="1" si="10"/>
        <v>47507.44960846522</v>
      </c>
      <c r="N174" s="146"/>
      <c r="O174" s="147"/>
    </row>
    <row r="175" spans="2:15" x14ac:dyDescent="0.25">
      <c r="B175" s="125">
        <v>168</v>
      </c>
      <c r="C175" s="126">
        <f t="shared" ca="1" si="12"/>
        <v>3253366.4079251192</v>
      </c>
      <c r="D175" s="126">
        <f t="shared" ca="1" si="11"/>
        <v>50560.13329468108</v>
      </c>
      <c r="E175" s="126">
        <f t="shared" ca="1" si="9"/>
        <v>3097.1765509424599</v>
      </c>
      <c r="F175" s="127">
        <f t="shared" ca="1" si="10"/>
        <v>47462.956743738621</v>
      </c>
      <c r="N175" s="146"/>
      <c r="O175" s="147"/>
    </row>
    <row r="176" spans="2:15" x14ac:dyDescent="0.25">
      <c r="B176" s="125">
        <v>169</v>
      </c>
      <c r="C176" s="126">
        <f t="shared" ca="1" si="12"/>
        <v>3250224.0900259465</v>
      </c>
      <c r="D176" s="126">
        <f t="shared" ca="1" si="11"/>
        <v>50560.13329468108</v>
      </c>
      <c r="E176" s="126">
        <f t="shared" ca="1" si="9"/>
        <v>3142.3178991724467</v>
      </c>
      <c r="F176" s="127">
        <f t="shared" ca="1" si="10"/>
        <v>47417.815395508631</v>
      </c>
      <c r="N176" s="146"/>
      <c r="O176" s="147"/>
    </row>
    <row r="177" spans="2:15" x14ac:dyDescent="0.25">
      <c r="B177" s="125">
        <v>170</v>
      </c>
      <c r="C177" s="126">
        <f t="shared" ca="1" si="12"/>
        <v>3247035.9728433937</v>
      </c>
      <c r="D177" s="126">
        <f t="shared" ca="1" si="11"/>
        <v>50560.13329468108</v>
      </c>
      <c r="E177" s="126">
        <f t="shared" ca="1" si="9"/>
        <v>3188.1171825528854</v>
      </c>
      <c r="F177" s="127">
        <f t="shared" ca="1" si="10"/>
        <v>47372.016112128193</v>
      </c>
      <c r="N177" s="146"/>
      <c r="O177" s="147"/>
    </row>
    <row r="178" spans="2:15" x14ac:dyDescent="0.25">
      <c r="B178" s="125">
        <v>171</v>
      </c>
      <c r="C178" s="126">
        <f t="shared" ca="1" si="12"/>
        <v>3243801.388852905</v>
      </c>
      <c r="D178" s="126">
        <f t="shared" ca="1" si="11"/>
        <v>50560.13329468108</v>
      </c>
      <c r="E178" s="126">
        <f t="shared" ca="1" si="9"/>
        <v>3234.5839904885938</v>
      </c>
      <c r="F178" s="127">
        <f t="shared" ca="1" si="10"/>
        <v>47325.549304192486</v>
      </c>
      <c r="N178" s="146"/>
      <c r="O178" s="147"/>
    </row>
    <row r="179" spans="2:15" x14ac:dyDescent="0.25">
      <c r="B179" s="125">
        <v>172</v>
      </c>
      <c r="C179" s="126">
        <f t="shared" ca="1" si="12"/>
        <v>3240519.660800755</v>
      </c>
      <c r="D179" s="126">
        <f t="shared" ca="1" si="11"/>
        <v>50560.133294681087</v>
      </c>
      <c r="E179" s="126">
        <f t="shared" ca="1" si="9"/>
        <v>3281.7280521499642</v>
      </c>
      <c r="F179" s="127">
        <f t="shared" ca="1" si="10"/>
        <v>47278.405242531124</v>
      </c>
      <c r="N179" s="146"/>
      <c r="O179" s="147"/>
    </row>
    <row r="180" spans="2:15" x14ac:dyDescent="0.25">
      <c r="B180" s="125">
        <v>173</v>
      </c>
      <c r="C180" s="126">
        <f t="shared" ca="1" si="12"/>
        <v>3237190.1015622448</v>
      </c>
      <c r="D180" s="126">
        <f t="shared" ca="1" si="11"/>
        <v>50560.133294681073</v>
      </c>
      <c r="E180" s="126">
        <f t="shared" ca="1" si="9"/>
        <v>3329.5592385100499</v>
      </c>
      <c r="F180" s="127">
        <f t="shared" ca="1" si="10"/>
        <v>47230.574056171026</v>
      </c>
      <c r="N180" s="146"/>
      <c r="O180" s="147"/>
    </row>
    <row r="181" spans="2:15" x14ac:dyDescent="0.25">
      <c r="B181" s="125">
        <v>174</v>
      </c>
      <c r="C181" s="126">
        <f t="shared" ca="1" si="12"/>
        <v>3233812.0139978337</v>
      </c>
      <c r="D181" s="126">
        <f t="shared" ca="1" si="11"/>
        <v>50560.13329468108</v>
      </c>
      <c r="E181" s="126">
        <f t="shared" ca="1" si="9"/>
        <v>3378.0875644113348</v>
      </c>
      <c r="F181" s="127">
        <f t="shared" ca="1" si="10"/>
        <v>47182.045730269747</v>
      </c>
      <c r="N181" s="146"/>
      <c r="O181" s="147"/>
    </row>
    <row r="182" spans="2:15" x14ac:dyDescent="0.25">
      <c r="B182" s="125">
        <v>175</v>
      </c>
      <c r="C182" s="126">
        <f t="shared" ca="1" si="12"/>
        <v>3230384.6908071712</v>
      </c>
      <c r="D182" s="126">
        <f t="shared" ca="1" si="11"/>
        <v>50560.13329468108</v>
      </c>
      <c r="E182" s="126">
        <f t="shared" ca="1" si="9"/>
        <v>3427.3231906626302</v>
      </c>
      <c r="F182" s="127">
        <f t="shared" ca="1" si="10"/>
        <v>47132.810104018448</v>
      </c>
      <c r="N182" s="146"/>
      <c r="O182" s="147"/>
    </row>
    <row r="183" spans="2:15" x14ac:dyDescent="0.25">
      <c r="B183" s="125">
        <v>176</v>
      </c>
      <c r="C183" s="126">
        <f t="shared" ca="1" si="12"/>
        <v>3226907.4143810044</v>
      </c>
      <c r="D183" s="126">
        <f t="shared" ca="1" si="11"/>
        <v>50560.13329468108</v>
      </c>
      <c r="E183" s="126">
        <f t="shared" ca="1" si="9"/>
        <v>3477.2764261665384</v>
      </c>
      <c r="F183" s="127">
        <f t="shared" ca="1" si="10"/>
        <v>47082.856868514544</v>
      </c>
      <c r="N183" s="146"/>
      <c r="O183" s="147"/>
    </row>
    <row r="184" spans="2:15" x14ac:dyDescent="0.25">
      <c r="B184" s="125">
        <v>177</v>
      </c>
      <c r="C184" s="126">
        <f t="shared" ca="1" si="12"/>
        <v>3223379.4566509263</v>
      </c>
      <c r="D184" s="126">
        <f t="shared" ca="1" si="11"/>
        <v>50560.13329468108</v>
      </c>
      <c r="E184" s="126">
        <f t="shared" ca="1" si="9"/>
        <v>3527.9577300779142</v>
      </c>
      <c r="F184" s="127">
        <f t="shared" ca="1" si="10"/>
        <v>47032.175564603167</v>
      </c>
      <c r="N184" s="146"/>
      <c r="O184" s="147"/>
    </row>
    <row r="185" spans="2:15" x14ac:dyDescent="0.25">
      <c r="B185" s="125">
        <v>178</v>
      </c>
      <c r="C185" s="126">
        <f t="shared" ca="1" si="12"/>
        <v>3219800.0789369326</v>
      </c>
      <c r="D185" s="126">
        <f t="shared" ca="1" si="11"/>
        <v>50560.133294681087</v>
      </c>
      <c r="E185" s="126">
        <f t="shared" ca="1" si="9"/>
        <v>3579.3777139938002</v>
      </c>
      <c r="F185" s="127">
        <f t="shared" ca="1" si="10"/>
        <v>46980.755580687284</v>
      </c>
      <c r="N185" s="146"/>
      <c r="O185" s="147"/>
    </row>
    <row r="186" spans="2:15" x14ac:dyDescent="0.25">
      <c r="B186" s="125">
        <v>179</v>
      </c>
      <c r="C186" s="126">
        <f t="shared" ca="1" si="12"/>
        <v>3216168.5317927576</v>
      </c>
      <c r="D186" s="126">
        <f t="shared" ca="1" si="11"/>
        <v>50560.133294681087</v>
      </c>
      <c r="E186" s="126">
        <f t="shared" ca="1" si="9"/>
        <v>3631.5471441752597</v>
      </c>
      <c r="F186" s="127">
        <f t="shared" ca="1" si="10"/>
        <v>46928.586150505827</v>
      </c>
      <c r="N186" s="146"/>
      <c r="O186" s="147"/>
    </row>
    <row r="187" spans="2:15" x14ac:dyDescent="0.25">
      <c r="B187" s="125">
        <v>180</v>
      </c>
      <c r="C187" s="126">
        <f t="shared" ca="1" si="12"/>
        <v>3212484.0548489559</v>
      </c>
      <c r="D187" s="126">
        <f t="shared" ca="1" si="11"/>
        <v>50560.13329468108</v>
      </c>
      <c r="E187" s="126">
        <f t="shared" ca="1" si="9"/>
        <v>3684.4769438016147</v>
      </c>
      <c r="F187" s="127">
        <f t="shared" ca="1" si="10"/>
        <v>46875.656350879464</v>
      </c>
      <c r="N187" s="146"/>
      <c r="O187" s="147"/>
    </row>
    <row r="188" spans="2:15" x14ac:dyDescent="0.25">
      <c r="B188" s="125">
        <v>181</v>
      </c>
      <c r="C188" s="126">
        <f t="shared" ca="1" si="12"/>
        <v>3208745.8766536983</v>
      </c>
      <c r="D188" s="126">
        <f t="shared" ca="1" si="11"/>
        <v>50560.133294681087</v>
      </c>
      <c r="E188" s="126">
        <f t="shared" ca="1" si="9"/>
        <v>3738.1781952575234</v>
      </c>
      <c r="F188" s="127">
        <f t="shared" ca="1" si="10"/>
        <v>46821.955099423561</v>
      </c>
      <c r="N188" s="146"/>
      <c r="O188" s="147"/>
    </row>
    <row r="189" spans="2:15" x14ac:dyDescent="0.25">
      <c r="B189" s="125">
        <v>182</v>
      </c>
      <c r="C189" s="126">
        <f t="shared" ca="1" si="12"/>
        <v>3204953.214511245</v>
      </c>
      <c r="D189" s="126">
        <f t="shared" ca="1" si="11"/>
        <v>50560.13329468108</v>
      </c>
      <c r="E189" s="126">
        <f t="shared" ca="1" si="9"/>
        <v>3792.6621424534019</v>
      </c>
      <c r="F189" s="127">
        <f t="shared" ca="1" si="10"/>
        <v>46767.471152227678</v>
      </c>
      <c r="N189" s="146"/>
      <c r="O189" s="147"/>
    </row>
    <row r="190" spans="2:15" x14ac:dyDescent="0.25">
      <c r="B190" s="125">
        <v>183</v>
      </c>
      <c r="C190" s="126">
        <f t="shared" ca="1" si="12"/>
        <v>3201105.2743180655</v>
      </c>
      <c r="D190" s="126">
        <f t="shared" ca="1" si="11"/>
        <v>50560.13329468108</v>
      </c>
      <c r="E190" s="126">
        <f t="shared" ca="1" si="9"/>
        <v>3847.9401931796588</v>
      </c>
      <c r="F190" s="127">
        <f t="shared" ca="1" si="10"/>
        <v>46712.19310150142</v>
      </c>
      <c r="N190" s="146"/>
      <c r="O190" s="147"/>
    </row>
    <row r="191" spans="2:15" x14ac:dyDescent="0.25">
      <c r="B191" s="125">
        <v>184</v>
      </c>
      <c r="C191" s="126">
        <f t="shared" ca="1" si="12"/>
        <v>3197201.2503965702</v>
      </c>
      <c r="D191" s="126">
        <f t="shared" ca="1" si="11"/>
        <v>50560.13329468108</v>
      </c>
      <c r="E191" s="126">
        <f t="shared" ca="1" si="9"/>
        <v>3904.023921495253</v>
      </c>
      <c r="F191" s="127">
        <f t="shared" ca="1" si="10"/>
        <v>46656.109373185827</v>
      </c>
      <c r="N191" s="146"/>
      <c r="O191" s="147"/>
    </row>
    <row r="192" spans="2:15" x14ac:dyDescent="0.25">
      <c r="B192" s="125">
        <v>185</v>
      </c>
      <c r="C192" s="126">
        <f t="shared" ca="1" si="12"/>
        <v>3193240.325326419</v>
      </c>
      <c r="D192" s="126">
        <f t="shared" ca="1" si="11"/>
        <v>50560.133294681073</v>
      </c>
      <c r="E192" s="126">
        <f t="shared" ca="1" si="9"/>
        <v>3960.9250701510468</v>
      </c>
      <c r="F192" s="127">
        <f t="shared" ca="1" si="10"/>
        <v>46599.208224530026</v>
      </c>
      <c r="N192" s="146"/>
      <c r="O192" s="147"/>
    </row>
    <row r="193" spans="2:15" x14ac:dyDescent="0.25">
      <c r="B193" s="125">
        <v>186</v>
      </c>
      <c r="C193" s="126">
        <f t="shared" ca="1" si="12"/>
        <v>3189221.6697733705</v>
      </c>
      <c r="D193" s="126">
        <f t="shared" ca="1" si="11"/>
        <v>50560.13329468108</v>
      </c>
      <c r="E193" s="126">
        <f t="shared" ca="1" si="9"/>
        <v>4018.6555530484984</v>
      </c>
      <c r="F193" s="127">
        <f t="shared" ca="1" si="10"/>
        <v>46541.477741632581</v>
      </c>
      <c r="N193" s="146"/>
      <c r="O193" s="147"/>
    </row>
    <row r="194" spans="2:15" x14ac:dyDescent="0.25">
      <c r="B194" s="125">
        <v>187</v>
      </c>
      <c r="C194" s="126">
        <f t="shared" ca="1" si="12"/>
        <v>3185144.4423156362</v>
      </c>
      <c r="D194" s="126">
        <f t="shared" ca="1" si="11"/>
        <v>50560.13329468108</v>
      </c>
      <c r="E194" s="126">
        <f t="shared" ca="1" si="9"/>
        <v>4077.2274577341809</v>
      </c>
      <c r="F194" s="127">
        <f t="shared" ca="1" si="10"/>
        <v>46482.905836946898</v>
      </c>
      <c r="N194" s="146"/>
      <c r="O194" s="147"/>
    </row>
    <row r="195" spans="2:15" x14ac:dyDescent="0.25">
      <c r="B195" s="125">
        <v>188</v>
      </c>
      <c r="C195" s="126">
        <f t="shared" ca="1" si="12"/>
        <v>3181007.7892677058</v>
      </c>
      <c r="D195" s="126">
        <f t="shared" ca="1" si="11"/>
        <v>50560.13329468108</v>
      </c>
      <c r="E195" s="126">
        <f t="shared" ca="1" si="9"/>
        <v>4136.6530479306548</v>
      </c>
      <c r="F195" s="127">
        <f t="shared" ca="1" si="10"/>
        <v>46423.480246750427</v>
      </c>
      <c r="N195" s="146"/>
      <c r="O195" s="147"/>
    </row>
    <row r="196" spans="2:15" x14ac:dyDescent="0.25">
      <c r="B196" s="125">
        <v>189</v>
      </c>
      <c r="C196" s="126">
        <f t="shared" ca="1" si="12"/>
        <v>3176810.8445016015</v>
      </c>
      <c r="D196" s="126">
        <f t="shared" ca="1" si="11"/>
        <v>50560.13329468108</v>
      </c>
      <c r="E196" s="126">
        <f t="shared" ca="1" si="9"/>
        <v>4196.9447661042441</v>
      </c>
      <c r="F196" s="127">
        <f t="shared" ca="1" si="10"/>
        <v>46363.188528576837</v>
      </c>
      <c r="N196" s="146"/>
      <c r="O196" s="147"/>
    </row>
    <row r="197" spans="2:15" x14ac:dyDescent="0.25">
      <c r="B197" s="125">
        <v>190</v>
      </c>
      <c r="C197" s="126">
        <f t="shared" ca="1" si="12"/>
        <v>3172552.7292655315</v>
      </c>
      <c r="D197" s="126">
        <f t="shared" ca="1" si="11"/>
        <v>50560.133294681087</v>
      </c>
      <c r="E197" s="126">
        <f t="shared" ca="1" si="9"/>
        <v>4258.1152360702145</v>
      </c>
      <c r="F197" s="127">
        <f t="shared" ca="1" si="10"/>
        <v>46302.018058610869</v>
      </c>
      <c r="N197" s="146"/>
      <c r="O197" s="147"/>
    </row>
    <row r="198" spans="2:15" x14ac:dyDescent="0.25">
      <c r="B198" s="125">
        <v>191</v>
      </c>
      <c r="C198" s="126">
        <f t="shared" ca="1" si="12"/>
        <v>3168232.5519998954</v>
      </c>
      <c r="D198" s="126">
        <f t="shared" ca="1" si="11"/>
        <v>50560.13329468108</v>
      </c>
      <c r="E198" s="126">
        <f t="shared" ca="1" si="9"/>
        <v>4320.1772656359381</v>
      </c>
      <c r="F198" s="127">
        <f t="shared" ca="1" si="10"/>
        <v>46239.956029045141</v>
      </c>
      <c r="N198" s="146"/>
      <c r="O198" s="147"/>
    </row>
    <row r="199" spans="2:15" x14ac:dyDescent="0.25">
      <c r="B199" s="125">
        <v>192</v>
      </c>
      <c r="C199" s="126">
        <f t="shared" ca="1" si="12"/>
        <v>3163849.4081506128</v>
      </c>
      <c r="D199" s="126">
        <f t="shared" ca="1" si="11"/>
        <v>50560.133294681087</v>
      </c>
      <c r="E199" s="126">
        <f t="shared" ca="1" si="9"/>
        <v>4383.1438492825819</v>
      </c>
      <c r="F199" s="127">
        <f t="shared" ca="1" si="10"/>
        <v>46176.989445398503</v>
      </c>
      <c r="N199" s="146"/>
      <c r="O199" s="147"/>
    </row>
    <row r="200" spans="2:15" x14ac:dyDescent="0.25">
      <c r="B200" s="125">
        <v>193</v>
      </c>
      <c r="C200" s="126">
        <f t="shared" ca="1" si="12"/>
        <v>3159402.3799797269</v>
      </c>
      <c r="D200" s="126">
        <f t="shared" ca="1" si="11"/>
        <v>50560.13329468108</v>
      </c>
      <c r="E200" s="126">
        <f t="shared" ref="E200:E263" ca="1" si="13">-IFERROR(IF(OR(B200&lt;=$J$30,$J$30=0),PPMT($J$35/12,B200,$J$12*12,$J$13),PPMT(($O$5+$J$35)/12,B200-$J$30,$J$12*12-$J$30,$J$13+CUMPRINC($J$35/12,$J$12*12,$J$13,1,$J$30,0))),0)</f>
        <v>4447.0281708858765</v>
      </c>
      <c r="F200" s="127">
        <f t="shared" ref="F200:F263" ca="1" si="14">-IF(AND($O$8,B200&lt;=$J$22),IF($H$22="Без процентов",0,0.5),1)*IFERROR(IF(OR(B200&lt;=$J$30,$J$30=0),IPMT($J$35/12,B200,$J$12*12,$J$13),IPMT(($O$5+$J$35)/12,B200-$J$30,$J$12*12-$J$30,$J$13+CUMPRINC($J$35/12,$J$12*12,$J$13,1,$J$30,0),0,0)),0)</f>
        <v>46113.105123795205</v>
      </c>
      <c r="N200" s="146"/>
      <c r="O200" s="147"/>
    </row>
    <row r="201" spans="2:15" x14ac:dyDescent="0.25">
      <c r="B201" s="125">
        <v>194</v>
      </c>
      <c r="C201" s="126">
        <f t="shared" ca="1" si="12"/>
        <v>3154890.5363732502</v>
      </c>
      <c r="D201" s="126">
        <f t="shared" ref="D201:D264" ca="1" si="15">E201+F201</f>
        <v>50560.13329468108</v>
      </c>
      <c r="E201" s="126">
        <f t="shared" ca="1" si="13"/>
        <v>4511.8436064765356</v>
      </c>
      <c r="F201" s="127">
        <f t="shared" ca="1" si="14"/>
        <v>46048.289688204546</v>
      </c>
      <c r="N201" s="146"/>
      <c r="O201" s="147"/>
    </row>
    <row r="202" spans="2:15" x14ac:dyDescent="0.25">
      <c r="B202" s="125">
        <v>195</v>
      </c>
      <c r="C202" s="126">
        <f t="shared" ca="1" si="12"/>
        <v>3150312.9326462094</v>
      </c>
      <c r="D202" s="126">
        <f t="shared" ca="1" si="15"/>
        <v>50560.13329468108</v>
      </c>
      <c r="E202" s="126">
        <f t="shared" ca="1" si="13"/>
        <v>4577.6037270409315</v>
      </c>
      <c r="F202" s="127">
        <f t="shared" ca="1" si="14"/>
        <v>45982.529567640151</v>
      </c>
      <c r="N202" s="146"/>
      <c r="O202" s="147"/>
    </row>
    <row r="203" spans="2:15" x14ac:dyDescent="0.25">
      <c r="B203" s="125">
        <v>196</v>
      </c>
      <c r="C203" s="126">
        <f t="shared" ca="1" si="12"/>
        <v>3145668.6103448467</v>
      </c>
      <c r="D203" s="126">
        <f t="shared" ca="1" si="15"/>
        <v>50560.13329468108</v>
      </c>
      <c r="E203" s="126">
        <f t="shared" ca="1" si="13"/>
        <v>4644.3223013625538</v>
      </c>
      <c r="F203" s="127">
        <f t="shared" ca="1" si="14"/>
        <v>45915.810993318526</v>
      </c>
      <c r="N203" s="146"/>
      <c r="O203" s="147"/>
    </row>
    <row r="204" spans="2:15" x14ac:dyDescent="0.25">
      <c r="B204" s="125">
        <v>197</v>
      </c>
      <c r="C204" s="126">
        <f t="shared" ca="1" si="12"/>
        <v>3140956.5970459417</v>
      </c>
      <c r="D204" s="126">
        <f t="shared" ca="1" si="15"/>
        <v>50560.133294681087</v>
      </c>
      <c r="E204" s="126">
        <f t="shared" ca="1" si="13"/>
        <v>4712.0132989049134</v>
      </c>
      <c r="F204" s="127">
        <f t="shared" ca="1" si="14"/>
        <v>45848.119995776171</v>
      </c>
      <c r="N204" s="146"/>
      <c r="O204" s="147"/>
    </row>
    <row r="205" spans="2:15" x14ac:dyDescent="0.25">
      <c r="B205" s="125">
        <v>198</v>
      </c>
      <c r="C205" s="126">
        <f t="shared" ca="1" si="12"/>
        <v>3136175.9061532053</v>
      </c>
      <c r="D205" s="126">
        <f t="shared" ca="1" si="15"/>
        <v>50560.133294681073</v>
      </c>
      <c r="E205" s="126">
        <f t="shared" ca="1" si="13"/>
        <v>4780.690892736453</v>
      </c>
      <c r="F205" s="127">
        <f t="shared" ca="1" si="14"/>
        <v>45779.442401944623</v>
      </c>
      <c r="N205" s="146"/>
      <c r="O205" s="147"/>
    </row>
    <row r="206" spans="2:15" x14ac:dyDescent="0.25">
      <c r="B206" s="125">
        <v>199</v>
      </c>
      <c r="C206" s="126">
        <f t="shared" ca="1" si="12"/>
        <v>3131325.5366907073</v>
      </c>
      <c r="D206" s="126">
        <f t="shared" ca="1" si="15"/>
        <v>50560.13329468108</v>
      </c>
      <c r="E206" s="126">
        <f t="shared" ca="1" si="13"/>
        <v>4850.3694624980853</v>
      </c>
      <c r="F206" s="127">
        <f t="shared" ca="1" si="14"/>
        <v>45709.763832182995</v>
      </c>
      <c r="N206" s="146"/>
      <c r="O206" s="147"/>
    </row>
    <row r="207" spans="2:15" x14ac:dyDescent="0.25">
      <c r="B207" s="125">
        <v>200</v>
      </c>
      <c r="C207" s="126">
        <f t="shared" ca="1" si="12"/>
        <v>3126404.4730932931</v>
      </c>
      <c r="D207" s="126">
        <f t="shared" ca="1" si="15"/>
        <v>50560.13329468108</v>
      </c>
      <c r="E207" s="126">
        <f t="shared" ca="1" si="13"/>
        <v>4921.063597413995</v>
      </c>
      <c r="F207" s="127">
        <f t="shared" ca="1" si="14"/>
        <v>45639.069697267085</v>
      </c>
      <c r="N207" s="146"/>
      <c r="O207" s="147"/>
    </row>
    <row r="208" spans="2:15" x14ac:dyDescent="0.25">
      <c r="B208" s="125">
        <v>201</v>
      </c>
      <c r="C208" s="126">
        <f t="shared" ca="1" si="12"/>
        <v>3121411.6849939469</v>
      </c>
      <c r="D208" s="126">
        <f t="shared" ca="1" si="15"/>
        <v>50560.13329468108</v>
      </c>
      <c r="E208" s="126">
        <f t="shared" ca="1" si="13"/>
        <v>4992.788099346305</v>
      </c>
      <c r="F208" s="127">
        <f t="shared" ca="1" si="14"/>
        <v>45567.345195334776</v>
      </c>
      <c r="N208" s="146"/>
      <c r="O208" s="147"/>
    </row>
    <row r="209" spans="2:15" x14ac:dyDescent="0.25">
      <c r="B209" s="125">
        <v>202</v>
      </c>
      <c r="C209" s="126">
        <f t="shared" ca="1" si="12"/>
        <v>3116346.1270080525</v>
      </c>
      <c r="D209" s="126">
        <f t="shared" ca="1" si="15"/>
        <v>50560.13329468108</v>
      </c>
      <c r="E209" s="126">
        <f t="shared" ca="1" si="13"/>
        <v>5065.5579858942774</v>
      </c>
      <c r="F209" s="127">
        <f t="shared" ca="1" si="14"/>
        <v>45494.5753087868</v>
      </c>
      <c r="N209" s="146"/>
      <c r="O209" s="147"/>
    </row>
    <row r="210" spans="2:15" x14ac:dyDescent="0.25">
      <c r="B210" s="125">
        <v>203</v>
      </c>
      <c r="C210" s="126">
        <f t="shared" ca="1" si="12"/>
        <v>3111206.7385145137</v>
      </c>
      <c r="D210" s="126">
        <f t="shared" ca="1" si="15"/>
        <v>50560.133294681087</v>
      </c>
      <c r="E210" s="126">
        <f t="shared" ca="1" si="13"/>
        <v>5139.3884935386868</v>
      </c>
      <c r="F210" s="127">
        <f t="shared" ca="1" si="14"/>
        <v>45420.744801142399</v>
      </c>
      <c r="N210" s="146"/>
      <c r="O210" s="147"/>
    </row>
    <row r="211" spans="2:15" x14ac:dyDescent="0.25">
      <c r="B211" s="125">
        <v>204</v>
      </c>
      <c r="C211" s="126">
        <f t="shared" ca="1" si="12"/>
        <v>3105992.4434336815</v>
      </c>
      <c r="D211" s="126">
        <f t="shared" ca="1" si="15"/>
        <v>50560.13329468108</v>
      </c>
      <c r="E211" s="126">
        <f t="shared" ca="1" si="13"/>
        <v>5214.2950808320111</v>
      </c>
      <c r="F211" s="127">
        <f t="shared" ca="1" si="14"/>
        <v>45345.838213849071</v>
      </c>
      <c r="N211" s="146"/>
      <c r="O211" s="147"/>
    </row>
    <row r="212" spans="2:15" x14ac:dyDescent="0.25">
      <c r="B212" s="125">
        <v>205</v>
      </c>
      <c r="C212" s="126">
        <f t="shared" ca="1" si="12"/>
        <v>3100702.1500020465</v>
      </c>
      <c r="D212" s="126">
        <f t="shared" ca="1" si="15"/>
        <v>50560.13329468108</v>
      </c>
      <c r="E212" s="126">
        <f t="shared" ca="1" si="13"/>
        <v>5290.2934316351384</v>
      </c>
      <c r="F212" s="127">
        <f t="shared" ca="1" si="14"/>
        <v>45269.839863045941</v>
      </c>
      <c r="N212" s="146"/>
      <c r="O212" s="147"/>
    </row>
    <row r="213" spans="2:15" x14ac:dyDescent="0.25">
      <c r="B213" s="125">
        <v>206</v>
      </c>
      <c r="C213" s="126">
        <f t="shared" ref="C213:C276" ca="1" si="16">C212-E213</f>
        <v>3095334.7505436451</v>
      </c>
      <c r="D213" s="126">
        <f t="shared" ca="1" si="15"/>
        <v>50560.133294681087</v>
      </c>
      <c r="E213" s="126">
        <f t="shared" ca="1" si="13"/>
        <v>5367.3994584012207</v>
      </c>
      <c r="F213" s="127">
        <f t="shared" ca="1" si="14"/>
        <v>45192.733836279869</v>
      </c>
      <c r="N213" s="146"/>
      <c r="O213" s="147"/>
    </row>
    <row r="214" spans="2:15" x14ac:dyDescent="0.25">
      <c r="B214" s="125">
        <v>207</v>
      </c>
      <c r="C214" s="126">
        <f t="shared" ca="1" si="16"/>
        <v>3089889.1212381376</v>
      </c>
      <c r="D214" s="126">
        <f t="shared" ca="1" si="15"/>
        <v>50560.133294681087</v>
      </c>
      <c r="E214" s="126">
        <f t="shared" ca="1" si="13"/>
        <v>5445.6293055074193</v>
      </c>
      <c r="F214" s="127">
        <f t="shared" ca="1" si="14"/>
        <v>45114.503989173667</v>
      </c>
      <c r="N214" s="146"/>
      <c r="O214" s="147"/>
    </row>
    <row r="215" spans="2:15" x14ac:dyDescent="0.25">
      <c r="B215" s="125">
        <v>208</v>
      </c>
      <c r="C215" s="126">
        <f t="shared" ca="1" si="16"/>
        <v>3084364.1218855022</v>
      </c>
      <c r="D215" s="126">
        <f t="shared" ca="1" si="15"/>
        <v>50560.133294681087</v>
      </c>
      <c r="E215" s="126">
        <f t="shared" ca="1" si="13"/>
        <v>5524.99935263519</v>
      </c>
      <c r="F215" s="127">
        <f t="shared" ca="1" si="14"/>
        <v>45035.133942045897</v>
      </c>
      <c r="N215" s="146"/>
      <c r="O215" s="147"/>
    </row>
    <row r="216" spans="2:15" x14ac:dyDescent="0.25">
      <c r="B216" s="125">
        <v>209</v>
      </c>
      <c r="C216" s="126">
        <f t="shared" ca="1" si="16"/>
        <v>3078758.5956673026</v>
      </c>
      <c r="D216" s="126">
        <f t="shared" ca="1" si="15"/>
        <v>50560.13329468108</v>
      </c>
      <c r="E216" s="126">
        <f t="shared" ca="1" si="13"/>
        <v>5605.526218199846</v>
      </c>
      <c r="F216" s="127">
        <f t="shared" ca="1" si="14"/>
        <v>44954.607076481232</v>
      </c>
      <c r="N216" s="146"/>
      <c r="O216" s="147"/>
    </row>
    <row r="217" spans="2:15" x14ac:dyDescent="0.25">
      <c r="B217" s="125">
        <v>210</v>
      </c>
      <c r="C217" s="126">
        <f t="shared" ca="1" si="16"/>
        <v>3073071.3689044723</v>
      </c>
      <c r="D217" s="126">
        <f t="shared" ca="1" si="15"/>
        <v>50560.133294681073</v>
      </c>
      <c r="E217" s="126">
        <f t="shared" ca="1" si="13"/>
        <v>5687.2267628301088</v>
      </c>
      <c r="F217" s="127">
        <f t="shared" ca="1" si="14"/>
        <v>44872.906531850967</v>
      </c>
      <c r="N217" s="146"/>
      <c r="O217" s="147"/>
    </row>
    <row r="218" spans="2:15" x14ac:dyDescent="0.25">
      <c r="B218" s="125">
        <v>211</v>
      </c>
      <c r="C218" s="126">
        <f t="shared" ca="1" si="16"/>
        <v>3067301.250811574</v>
      </c>
      <c r="D218" s="126">
        <f t="shared" ca="1" si="15"/>
        <v>50560.13329468108</v>
      </c>
      <c r="E218" s="126">
        <f t="shared" ca="1" si="13"/>
        <v>5770.1180928983586</v>
      </c>
      <c r="F218" s="127">
        <f t="shared" ca="1" si="14"/>
        <v>44790.01520178272</v>
      </c>
      <c r="N218" s="146"/>
      <c r="O218" s="147"/>
    </row>
    <row r="219" spans="2:15" x14ac:dyDescent="0.25">
      <c r="B219" s="125">
        <v>212</v>
      </c>
      <c r="C219" s="126">
        <f t="shared" ca="1" si="16"/>
        <v>3061447.0332474718</v>
      </c>
      <c r="D219" s="126">
        <f t="shared" ca="1" si="15"/>
        <v>50560.133294681073</v>
      </c>
      <c r="E219" s="126">
        <f t="shared" ca="1" si="13"/>
        <v>5854.2175641023532</v>
      </c>
      <c r="F219" s="127">
        <f t="shared" ca="1" si="14"/>
        <v>44705.915730578723</v>
      </c>
      <c r="N219" s="146"/>
      <c r="O219" s="147"/>
    </row>
    <row r="220" spans="2:15" x14ac:dyDescent="0.25">
      <c r="B220" s="125">
        <v>213</v>
      </c>
      <c r="C220" s="126">
        <f t="shared" ca="1" si="16"/>
        <v>3055507.4904623725</v>
      </c>
      <c r="D220" s="126">
        <f t="shared" ca="1" si="15"/>
        <v>50560.133294681087</v>
      </c>
      <c r="E220" s="126">
        <f t="shared" ca="1" si="13"/>
        <v>5939.5427850991455</v>
      </c>
      <c r="F220" s="127">
        <f t="shared" ca="1" si="14"/>
        <v>44620.59050958194</v>
      </c>
      <c r="N220" s="146"/>
      <c r="O220" s="147"/>
    </row>
    <row r="221" spans="2:15" x14ac:dyDescent="0.25">
      <c r="B221" s="125">
        <v>214</v>
      </c>
      <c r="C221" s="126">
        <f t="shared" ca="1" si="16"/>
        <v>3049481.3788411804</v>
      </c>
      <c r="D221" s="126">
        <f t="shared" ca="1" si="15"/>
        <v>50560.13329468108</v>
      </c>
      <c r="E221" s="126">
        <f t="shared" ca="1" si="13"/>
        <v>6026.1116211919662</v>
      </c>
      <c r="F221" s="127">
        <f t="shared" ca="1" si="14"/>
        <v>44534.021673489115</v>
      </c>
      <c r="N221" s="146"/>
      <c r="O221" s="147"/>
    </row>
    <row r="222" spans="2:15" x14ac:dyDescent="0.25">
      <c r="B222" s="125">
        <v>215</v>
      </c>
      <c r="C222" s="126">
        <f t="shared" ca="1" si="16"/>
        <v>3043367.4366431097</v>
      </c>
      <c r="D222" s="126">
        <f t="shared" ca="1" si="15"/>
        <v>50560.133294681087</v>
      </c>
      <c r="E222" s="126">
        <f t="shared" ca="1" si="13"/>
        <v>6113.9421980708366</v>
      </c>
      <c r="F222" s="127">
        <f t="shared" ca="1" si="14"/>
        <v>44446.191096610251</v>
      </c>
      <c r="N222" s="146"/>
      <c r="O222" s="147"/>
    </row>
    <row r="223" spans="2:15" x14ac:dyDescent="0.25">
      <c r="B223" s="125">
        <v>216</v>
      </c>
      <c r="C223" s="126">
        <f t="shared" ca="1" si="16"/>
        <v>3037164.3837375022</v>
      </c>
      <c r="D223" s="126">
        <f t="shared" ca="1" si="15"/>
        <v>50560.13329468108</v>
      </c>
      <c r="E223" s="126">
        <f t="shared" ca="1" si="13"/>
        <v>6203.0529056077194</v>
      </c>
      <c r="F223" s="127">
        <f t="shared" ca="1" si="14"/>
        <v>44357.080389073359</v>
      </c>
      <c r="N223" s="146"/>
      <c r="O223" s="147"/>
    </row>
    <row r="224" spans="2:15" x14ac:dyDescent="0.25">
      <c r="B224" s="125">
        <v>217</v>
      </c>
      <c r="C224" s="126">
        <f t="shared" ca="1" si="16"/>
        <v>3030870.9213357954</v>
      </c>
      <c r="D224" s="126">
        <f t="shared" ca="1" si="15"/>
        <v>50560.133294681087</v>
      </c>
      <c r="E224" s="126">
        <f t="shared" ca="1" si="13"/>
        <v>6293.4624017069518</v>
      </c>
      <c r="F224" s="127">
        <f t="shared" ca="1" si="14"/>
        <v>44266.670892974136</v>
      </c>
      <c r="N224" s="146"/>
      <c r="O224" s="147"/>
    </row>
    <row r="225" spans="2:15" x14ac:dyDescent="0.25">
      <c r="B225" s="125">
        <v>218</v>
      </c>
      <c r="C225" s="126">
        <f t="shared" ca="1" si="16"/>
        <v>3024485.7317195837</v>
      </c>
      <c r="D225" s="126">
        <f t="shared" ca="1" si="15"/>
        <v>50560.133294681087</v>
      </c>
      <c r="E225" s="126">
        <f t="shared" ca="1" si="13"/>
        <v>6385.1896162118319</v>
      </c>
      <c r="F225" s="127">
        <f t="shared" ca="1" si="14"/>
        <v>44174.943678469252</v>
      </c>
      <c r="N225" s="146"/>
      <c r="O225" s="147"/>
    </row>
    <row r="226" spans="2:15" x14ac:dyDescent="0.25">
      <c r="B226" s="125">
        <v>219</v>
      </c>
      <c r="C226" s="126">
        <f t="shared" ca="1" si="16"/>
        <v>3018007.4779647156</v>
      </c>
      <c r="D226" s="126">
        <f t="shared" ca="1" si="15"/>
        <v>50560.133294681087</v>
      </c>
      <c r="E226" s="126">
        <f t="shared" ca="1" si="13"/>
        <v>6478.2537548681194</v>
      </c>
      <c r="F226" s="127">
        <f t="shared" ca="1" si="14"/>
        <v>44081.879539812966</v>
      </c>
      <c r="N226" s="146"/>
      <c r="O226" s="147"/>
    </row>
    <row r="227" spans="2:15" x14ac:dyDescent="0.25">
      <c r="B227" s="125">
        <v>220</v>
      </c>
      <c r="C227" s="126">
        <f t="shared" ca="1" si="16"/>
        <v>3011434.8036613702</v>
      </c>
      <c r="D227" s="126">
        <f t="shared" ca="1" si="15"/>
        <v>50560.13329468108</v>
      </c>
      <c r="E227" s="126">
        <f t="shared" ca="1" si="13"/>
        <v>6572.6743033453195</v>
      </c>
      <c r="F227" s="127">
        <f t="shared" ca="1" si="14"/>
        <v>43987.458991335763</v>
      </c>
      <c r="N227" s="146"/>
      <c r="O227" s="147"/>
    </row>
    <row r="228" spans="2:15" x14ac:dyDescent="0.25">
      <c r="B228" s="125">
        <v>221</v>
      </c>
      <c r="C228" s="126">
        <f t="shared" ca="1" si="16"/>
        <v>3004766.3326300536</v>
      </c>
      <c r="D228" s="126">
        <f t="shared" ca="1" si="15"/>
        <v>50560.13329468108</v>
      </c>
      <c r="E228" s="126">
        <f t="shared" ca="1" si="13"/>
        <v>6668.4710313165788</v>
      </c>
      <c r="F228" s="127">
        <f t="shared" ca="1" si="14"/>
        <v>43891.662263364502</v>
      </c>
      <c r="N228" s="146"/>
      <c r="O228" s="147"/>
    </row>
    <row r="229" spans="2:15" x14ac:dyDescent="0.25">
      <c r="B229" s="125">
        <v>222</v>
      </c>
      <c r="C229" s="126">
        <f t="shared" ca="1" si="16"/>
        <v>2998000.6686334554</v>
      </c>
      <c r="D229" s="126">
        <f t="shared" ca="1" si="15"/>
        <v>50560.133294681087</v>
      </c>
      <c r="E229" s="126">
        <f t="shared" ca="1" si="13"/>
        <v>6765.6639965980194</v>
      </c>
      <c r="F229" s="127">
        <f t="shared" ca="1" si="14"/>
        <v>43794.469298083066</v>
      </c>
      <c r="N229" s="146"/>
      <c r="O229" s="147"/>
    </row>
    <row r="230" spans="2:15" x14ac:dyDescent="0.25">
      <c r="B230" s="125">
        <v>223</v>
      </c>
      <c r="C230" s="126">
        <f t="shared" ca="1" si="16"/>
        <v>2991136.3950841068</v>
      </c>
      <c r="D230" s="126">
        <f t="shared" ca="1" si="15"/>
        <v>50560.13329468108</v>
      </c>
      <c r="E230" s="126">
        <f t="shared" ca="1" si="13"/>
        <v>6864.2735493484352</v>
      </c>
      <c r="F230" s="127">
        <f t="shared" ca="1" si="14"/>
        <v>43695.859745332644</v>
      </c>
      <c r="N230" s="146"/>
      <c r="O230" s="147"/>
    </row>
    <row r="231" spans="2:15" x14ac:dyDescent="0.25">
      <c r="B231" s="125">
        <v>224</v>
      </c>
      <c r="C231" s="126">
        <f t="shared" ca="1" si="16"/>
        <v>2984172.0747477766</v>
      </c>
      <c r="D231" s="126">
        <f t="shared" ca="1" si="15"/>
        <v>50560.13329468108</v>
      </c>
      <c r="E231" s="126">
        <f t="shared" ca="1" si="13"/>
        <v>6964.3203363301882</v>
      </c>
      <c r="F231" s="127">
        <f t="shared" ca="1" si="14"/>
        <v>43595.812958350893</v>
      </c>
      <c r="N231" s="146"/>
      <c r="O231" s="147"/>
    </row>
    <row r="232" spans="2:15" x14ac:dyDescent="0.25">
      <c r="B232" s="125">
        <v>225</v>
      </c>
      <c r="C232" s="126">
        <f t="shared" ca="1" si="16"/>
        <v>2977106.2494425443</v>
      </c>
      <c r="D232" s="126">
        <f t="shared" ca="1" si="15"/>
        <v>50560.133294681087</v>
      </c>
      <c r="E232" s="126">
        <f t="shared" ca="1" si="13"/>
        <v>7065.8253052322007</v>
      </c>
      <c r="F232" s="127">
        <f t="shared" ca="1" si="14"/>
        <v>43494.307989448884</v>
      </c>
      <c r="N232" s="146"/>
      <c r="O232" s="147"/>
    </row>
    <row r="233" spans="2:15" x14ac:dyDescent="0.25">
      <c r="B233" s="125">
        <v>226</v>
      </c>
      <c r="C233" s="126">
        <f t="shared" ca="1" si="16"/>
        <v>2969937.4397334885</v>
      </c>
      <c r="D233" s="126">
        <f t="shared" ca="1" si="15"/>
        <v>50560.13329468108</v>
      </c>
      <c r="E233" s="126">
        <f t="shared" ca="1" si="13"/>
        <v>7168.8097090559595</v>
      </c>
      <c r="F233" s="127">
        <f t="shared" ca="1" si="14"/>
        <v>43391.323585625119</v>
      </c>
      <c r="N233" s="146"/>
      <c r="O233" s="147"/>
    </row>
    <row r="234" spans="2:15" x14ac:dyDescent="0.25">
      <c r="B234" s="125">
        <v>227</v>
      </c>
      <c r="C234" s="126">
        <f t="shared" ca="1" si="16"/>
        <v>2962664.1446229229</v>
      </c>
      <c r="D234" s="126">
        <f t="shared" ca="1" si="15"/>
        <v>50560.133294681087</v>
      </c>
      <c r="E234" s="126">
        <f t="shared" ca="1" si="13"/>
        <v>7273.2951105654502</v>
      </c>
      <c r="F234" s="127">
        <f t="shared" ca="1" si="14"/>
        <v>43286.838184115637</v>
      </c>
      <c r="N234" s="146"/>
      <c r="O234" s="147"/>
    </row>
    <row r="235" spans="2:15" x14ac:dyDescent="0.25">
      <c r="B235" s="125">
        <v>228</v>
      </c>
      <c r="C235" s="126">
        <f t="shared" ca="1" si="16"/>
        <v>2955284.841236121</v>
      </c>
      <c r="D235" s="126">
        <f t="shared" ca="1" si="15"/>
        <v>50560.13329468108</v>
      </c>
      <c r="E235" s="126">
        <f t="shared" ca="1" si="13"/>
        <v>7379.3033868019429</v>
      </c>
      <c r="F235" s="127">
        <f t="shared" ca="1" si="14"/>
        <v>43180.829907879139</v>
      </c>
      <c r="N235" s="146"/>
      <c r="O235" s="147"/>
    </row>
    <row r="236" spans="2:15" x14ac:dyDescent="0.25">
      <c r="B236" s="125">
        <v>229</v>
      </c>
      <c r="C236" s="126">
        <f t="shared" ca="1" si="16"/>
        <v>2947797.9845024566</v>
      </c>
      <c r="D236" s="126">
        <f t="shared" ca="1" si="15"/>
        <v>50560.13329468108</v>
      </c>
      <c r="E236" s="126">
        <f t="shared" ca="1" si="13"/>
        <v>7486.856733664581</v>
      </c>
      <c r="F236" s="127">
        <f t="shared" ca="1" si="14"/>
        <v>43073.276561016501</v>
      </c>
      <c r="N236" s="146"/>
      <c r="O236" s="147"/>
    </row>
    <row r="237" spans="2:15" x14ac:dyDescent="0.25">
      <c r="B237" s="125">
        <v>230</v>
      </c>
      <c r="C237" s="126">
        <f t="shared" ca="1" si="16"/>
        <v>2940202.0068318988</v>
      </c>
      <c r="D237" s="126">
        <f t="shared" ca="1" si="15"/>
        <v>50560.133294681087</v>
      </c>
      <c r="E237" s="126">
        <f t="shared" ca="1" si="13"/>
        <v>7595.9776705577424</v>
      </c>
      <c r="F237" s="127">
        <f t="shared" ca="1" si="14"/>
        <v>42964.155624123341</v>
      </c>
      <c r="N237" s="146"/>
      <c r="O237" s="147"/>
    </row>
    <row r="238" spans="2:15" x14ac:dyDescent="0.25">
      <c r="B238" s="125">
        <v>231</v>
      </c>
      <c r="C238" s="126">
        <f t="shared" ca="1" si="16"/>
        <v>2932495.3177867928</v>
      </c>
      <c r="D238" s="126">
        <f t="shared" ca="1" si="15"/>
        <v>50560.13329468108</v>
      </c>
      <c r="E238" s="126">
        <f t="shared" ca="1" si="13"/>
        <v>7706.6890451061208</v>
      </c>
      <c r="F238" s="127">
        <f t="shared" ca="1" si="14"/>
        <v>42853.444249574961</v>
      </c>
      <c r="N238" s="146"/>
      <c r="O238" s="147"/>
    </row>
    <row r="239" spans="2:15" x14ac:dyDescent="0.25">
      <c r="B239" s="125">
        <v>232</v>
      </c>
      <c r="C239" s="126">
        <f t="shared" ca="1" si="16"/>
        <v>2924676.3037488544</v>
      </c>
      <c r="D239" s="126">
        <f t="shared" ca="1" si="15"/>
        <v>50560.133294681087</v>
      </c>
      <c r="E239" s="126">
        <f t="shared" ca="1" si="13"/>
        <v>7819.0140379385421</v>
      </c>
      <c r="F239" s="127">
        <f t="shared" ca="1" si="14"/>
        <v>42741.119256742546</v>
      </c>
      <c r="N239" s="146"/>
      <c r="O239" s="147"/>
    </row>
    <row r="240" spans="2:15" x14ac:dyDescent="0.25">
      <c r="B240" s="125">
        <v>233</v>
      </c>
      <c r="C240" s="126">
        <f t="shared" ca="1" si="16"/>
        <v>2916743.327581313</v>
      </c>
      <c r="D240" s="126">
        <f t="shared" ca="1" si="15"/>
        <v>50560.133294681087</v>
      </c>
      <c r="E240" s="126">
        <f t="shared" ca="1" si="13"/>
        <v>7932.9761675414966</v>
      </c>
      <c r="F240" s="127">
        <f t="shared" ca="1" si="14"/>
        <v>42627.157127139588</v>
      </c>
      <c r="N240" s="146"/>
      <c r="O240" s="147"/>
    </row>
    <row r="241" spans="2:15" x14ac:dyDescent="0.25">
      <c r="B241" s="125">
        <v>234</v>
      </c>
      <c r="C241" s="126">
        <f t="shared" ca="1" si="16"/>
        <v>2908694.7282861294</v>
      </c>
      <c r="D241" s="126">
        <f t="shared" ca="1" si="15"/>
        <v>50560.13329468108</v>
      </c>
      <c r="E241" s="126">
        <f t="shared" ca="1" si="13"/>
        <v>8048.5992951834151</v>
      </c>
      <c r="F241" s="127">
        <f t="shared" ca="1" si="14"/>
        <v>42511.533999497668</v>
      </c>
      <c r="N241" s="146"/>
      <c r="O241" s="147"/>
    </row>
    <row r="242" spans="2:15" x14ac:dyDescent="0.25">
      <c r="B242" s="125">
        <v>235</v>
      </c>
      <c r="C242" s="126">
        <f t="shared" ca="1" si="16"/>
        <v>2900528.8206562186</v>
      </c>
      <c r="D242" s="126">
        <f t="shared" ca="1" si="15"/>
        <v>50560.13329468108</v>
      </c>
      <c r="E242" s="126">
        <f t="shared" ca="1" si="13"/>
        <v>8165.9076299107119</v>
      </c>
      <c r="F242" s="127">
        <f t="shared" ca="1" si="14"/>
        <v>42394.225664770369</v>
      </c>
      <c r="N242" s="146"/>
      <c r="O242" s="147"/>
    </row>
    <row r="243" spans="2:15" x14ac:dyDescent="0.25">
      <c r="B243" s="125">
        <v>236</v>
      </c>
      <c r="C243" s="126">
        <f t="shared" ca="1" si="16"/>
        <v>2892243.894922602</v>
      </c>
      <c r="D243" s="126">
        <f t="shared" ca="1" si="15"/>
        <v>50560.133294681087</v>
      </c>
      <c r="E243" s="126">
        <f t="shared" ca="1" si="13"/>
        <v>8284.9257336166611</v>
      </c>
      <c r="F243" s="127">
        <f t="shared" ca="1" si="14"/>
        <v>42275.207561064424</v>
      </c>
      <c r="N243" s="146"/>
      <c r="O243" s="147"/>
    </row>
    <row r="244" spans="2:15" x14ac:dyDescent="0.25">
      <c r="B244" s="125">
        <v>237</v>
      </c>
      <c r="C244" s="126">
        <f t="shared" ca="1" si="16"/>
        <v>2883838.2163964179</v>
      </c>
      <c r="D244" s="126">
        <f t="shared" ca="1" si="15"/>
        <v>50560.133294681087</v>
      </c>
      <c r="E244" s="126">
        <f t="shared" ca="1" si="13"/>
        <v>8405.6785261841233</v>
      </c>
      <c r="F244" s="127">
        <f t="shared" ca="1" si="14"/>
        <v>42154.454768496966</v>
      </c>
      <c r="N244" s="146"/>
      <c r="O244" s="147"/>
    </row>
    <row r="245" spans="2:15" x14ac:dyDescent="0.25">
      <c r="B245" s="125">
        <v>238</v>
      </c>
      <c r="C245" s="126">
        <f t="shared" ca="1" si="16"/>
        <v>2875310.0251057148</v>
      </c>
      <c r="D245" s="126">
        <f t="shared" ca="1" si="15"/>
        <v>50560.133294681087</v>
      </c>
      <c r="E245" s="126">
        <f t="shared" ca="1" si="13"/>
        <v>8528.1912907032565</v>
      </c>
      <c r="F245" s="127">
        <f t="shared" ca="1" si="14"/>
        <v>42031.942003977827</v>
      </c>
      <c r="N245" s="146"/>
      <c r="O245" s="147"/>
    </row>
    <row r="246" spans="2:15" x14ac:dyDescent="0.25">
      <c r="B246" s="125">
        <v>239</v>
      </c>
      <c r="C246" s="126">
        <f t="shared" ca="1" si="16"/>
        <v>2866657.5354269496</v>
      </c>
      <c r="D246" s="126">
        <f t="shared" ca="1" si="15"/>
        <v>50560.13329468108</v>
      </c>
      <c r="E246" s="126">
        <f t="shared" ca="1" si="13"/>
        <v>8652.489678765256</v>
      </c>
      <c r="F246" s="127">
        <f t="shared" ca="1" si="14"/>
        <v>41907.643615915826</v>
      </c>
      <c r="N246" s="146"/>
      <c r="O246" s="147"/>
    </row>
    <row r="247" spans="2:15" x14ac:dyDescent="0.25">
      <c r="B247" s="125">
        <v>240</v>
      </c>
      <c r="C247" s="126">
        <f t="shared" ca="1" si="16"/>
        <v>2857878.9357111165</v>
      </c>
      <c r="D247" s="126">
        <f t="shared" ca="1" si="15"/>
        <v>50560.133294681087</v>
      </c>
      <c r="E247" s="126">
        <f t="shared" ca="1" si="13"/>
        <v>8778.5997158332593</v>
      </c>
      <c r="F247" s="127">
        <f t="shared" ca="1" si="14"/>
        <v>41781.533578847826</v>
      </c>
      <c r="N247" s="146"/>
      <c r="O247" s="147"/>
    </row>
    <row r="248" spans="2:15" x14ac:dyDescent="0.25">
      <c r="B248" s="125">
        <v>241</v>
      </c>
      <c r="C248" s="126">
        <f t="shared" ca="1" si="16"/>
        <v>2848972.3879044252</v>
      </c>
      <c r="D248" s="126">
        <f t="shared" ca="1" si="15"/>
        <v>50560.13329468108</v>
      </c>
      <c r="E248" s="126">
        <f t="shared" ca="1" si="13"/>
        <v>8906.5478066915293</v>
      </c>
      <c r="F248" s="127">
        <f t="shared" ca="1" si="14"/>
        <v>41653.585487989549</v>
      </c>
      <c r="N248" s="146"/>
      <c r="O248" s="147"/>
    </row>
    <row r="249" spans="2:15" x14ac:dyDescent="0.25">
      <c r="B249" s="125">
        <v>242</v>
      </c>
      <c r="C249" s="126">
        <f t="shared" ca="1" si="16"/>
        <v>2839936.0271634511</v>
      </c>
      <c r="D249" s="126">
        <f t="shared" ca="1" si="15"/>
        <v>50560.133294681087</v>
      </c>
      <c r="E249" s="126">
        <f t="shared" ca="1" si="13"/>
        <v>9036.3607409740616</v>
      </c>
      <c r="F249" s="127">
        <f t="shared" ca="1" si="14"/>
        <v>41523.772553707022</v>
      </c>
      <c r="N249" s="146"/>
      <c r="O249" s="147"/>
    </row>
    <row r="250" spans="2:15" x14ac:dyDescent="0.25">
      <c r="B250" s="125">
        <v>243</v>
      </c>
      <c r="C250" s="126">
        <f t="shared" ca="1" si="16"/>
        <v>2830767.9614646775</v>
      </c>
      <c r="D250" s="126">
        <f t="shared" ca="1" si="15"/>
        <v>50560.13329468108</v>
      </c>
      <c r="E250" s="126">
        <f t="shared" ca="1" si="13"/>
        <v>9168.0656987737548</v>
      </c>
      <c r="F250" s="127">
        <f t="shared" ca="1" si="14"/>
        <v>41392.067595907327</v>
      </c>
      <c r="N250" s="146"/>
      <c r="O250" s="147"/>
    </row>
    <row r="251" spans="2:15" x14ac:dyDescent="0.25">
      <c r="B251" s="125">
        <v>244</v>
      </c>
      <c r="C251" s="126">
        <f t="shared" ca="1" si="16"/>
        <v>2821466.271208344</v>
      </c>
      <c r="D251" s="126">
        <f t="shared" ca="1" si="15"/>
        <v>50560.133294681087</v>
      </c>
      <c r="E251" s="126">
        <f t="shared" ca="1" si="13"/>
        <v>9301.6902563333842</v>
      </c>
      <c r="F251" s="127">
        <f t="shared" ca="1" si="14"/>
        <v>41258.443038347701</v>
      </c>
      <c r="N251" s="146"/>
      <c r="O251" s="147"/>
    </row>
    <row r="252" spans="2:15" x14ac:dyDescent="0.25">
      <c r="B252" s="125">
        <v>245</v>
      </c>
      <c r="C252" s="126">
        <f t="shared" ca="1" si="16"/>
        <v>2812029.0088165244</v>
      </c>
      <c r="D252" s="126">
        <f t="shared" ca="1" si="15"/>
        <v>50560.133294681087</v>
      </c>
      <c r="E252" s="126">
        <f t="shared" ca="1" si="13"/>
        <v>9437.262391819444</v>
      </c>
      <c r="F252" s="127">
        <f t="shared" ca="1" si="14"/>
        <v>41122.870902861643</v>
      </c>
      <c r="N252" s="146"/>
      <c r="O252" s="147"/>
    </row>
    <row r="253" spans="2:15" x14ac:dyDescent="0.25">
      <c r="B253" s="125">
        <v>246</v>
      </c>
      <c r="C253" s="126">
        <f t="shared" ca="1" si="16"/>
        <v>2802454.1983253444</v>
      </c>
      <c r="D253" s="126">
        <f t="shared" ca="1" si="15"/>
        <v>50560.133294681073</v>
      </c>
      <c r="E253" s="126">
        <f t="shared" ca="1" si="13"/>
        <v>9574.8104911802111</v>
      </c>
      <c r="F253" s="127">
        <f t="shared" ca="1" si="14"/>
        <v>40985.322803500865</v>
      </c>
      <c r="N253" s="146"/>
      <c r="O253" s="147"/>
    </row>
    <row r="254" spans="2:15" x14ac:dyDescent="0.25">
      <c r="B254" s="125">
        <v>247</v>
      </c>
      <c r="C254" s="126">
        <f t="shared" ca="1" si="16"/>
        <v>2792739.8349712552</v>
      </c>
      <c r="D254" s="126">
        <f t="shared" ca="1" si="15"/>
        <v>50560.133294681087</v>
      </c>
      <c r="E254" s="126">
        <f t="shared" ca="1" si="13"/>
        <v>9714.3633540891642</v>
      </c>
      <c r="F254" s="127">
        <f t="shared" ca="1" si="14"/>
        <v>40845.769940591919</v>
      </c>
      <c r="N254" s="146"/>
      <c r="O254" s="147"/>
    </row>
    <row r="255" spans="2:15" x14ac:dyDescent="0.25">
      <c r="B255" s="125">
        <v>248</v>
      </c>
      <c r="C255" s="126">
        <f t="shared" ca="1" si="16"/>
        <v>2782883.88477128</v>
      </c>
      <c r="D255" s="126">
        <f t="shared" ca="1" si="15"/>
        <v>50560.13329468108</v>
      </c>
      <c r="E255" s="126">
        <f t="shared" ca="1" si="13"/>
        <v>9855.9501999750119</v>
      </c>
      <c r="F255" s="127">
        <f t="shared" ca="1" si="14"/>
        <v>40704.183094706066</v>
      </c>
      <c r="N255" s="146"/>
      <c r="O255" s="147"/>
    </row>
    <row r="256" spans="2:15" x14ac:dyDescent="0.25">
      <c r="B256" s="125">
        <v>249</v>
      </c>
      <c r="C256" s="126">
        <f t="shared" ca="1" si="16"/>
        <v>2772884.2840971402</v>
      </c>
      <c r="D256" s="126">
        <f t="shared" ca="1" si="15"/>
        <v>50560.13329468108</v>
      </c>
      <c r="E256" s="126">
        <f t="shared" ca="1" si="13"/>
        <v>9999.6006741396468</v>
      </c>
      <c r="F256" s="127">
        <f t="shared" ca="1" si="14"/>
        <v>40560.532620541431</v>
      </c>
      <c r="N256" s="146"/>
      <c r="O256" s="147"/>
    </row>
    <row r="257" spans="2:15" x14ac:dyDescent="0.25">
      <c r="B257" s="125">
        <v>250</v>
      </c>
      <c r="C257" s="126">
        <f t="shared" ca="1" si="16"/>
        <v>2762738.9392431751</v>
      </c>
      <c r="D257" s="126">
        <f t="shared" ca="1" si="15"/>
        <v>50560.133294681087</v>
      </c>
      <c r="E257" s="126">
        <f t="shared" ca="1" si="13"/>
        <v>10145.344853965235</v>
      </c>
      <c r="F257" s="127">
        <f t="shared" ca="1" si="14"/>
        <v>40414.788440715849</v>
      </c>
      <c r="N257" s="146"/>
      <c r="O257" s="147"/>
    </row>
    <row r="258" spans="2:15" x14ac:dyDescent="0.25">
      <c r="B258" s="125">
        <v>251</v>
      </c>
      <c r="C258" s="126">
        <f t="shared" ca="1" si="16"/>
        <v>2752445.7259879634</v>
      </c>
      <c r="D258" s="126">
        <f t="shared" ca="1" si="15"/>
        <v>50560.13329468108</v>
      </c>
      <c r="E258" s="126">
        <f t="shared" ca="1" si="13"/>
        <v>10293.213255211776</v>
      </c>
      <c r="F258" s="127">
        <f t="shared" ca="1" si="14"/>
        <v>40266.920039469303</v>
      </c>
      <c r="N258" s="146"/>
      <c r="O258" s="147"/>
    </row>
    <row r="259" spans="2:15" x14ac:dyDescent="0.25">
      <c r="B259" s="125">
        <v>252</v>
      </c>
      <c r="C259" s="126">
        <f t="shared" ca="1" si="16"/>
        <v>2742002.489149557</v>
      </c>
      <c r="D259" s="126">
        <f t="shared" ca="1" si="15"/>
        <v>50560.13329468108</v>
      </c>
      <c r="E259" s="126">
        <f t="shared" ca="1" si="13"/>
        <v>10443.236838406488</v>
      </c>
      <c r="F259" s="127">
        <f t="shared" ca="1" si="14"/>
        <v>40116.89645627459</v>
      </c>
      <c r="N259" s="146"/>
      <c r="O259" s="147"/>
    </row>
    <row r="260" spans="2:15" x14ac:dyDescent="0.25">
      <c r="B260" s="125">
        <v>253</v>
      </c>
      <c r="C260" s="126">
        <f t="shared" ca="1" si="16"/>
        <v>2731407.0421342305</v>
      </c>
      <c r="D260" s="126">
        <f t="shared" ca="1" si="15"/>
        <v>50560.133294681087</v>
      </c>
      <c r="E260" s="126">
        <f t="shared" ca="1" si="13"/>
        <v>10595.447015326263</v>
      </c>
      <c r="F260" s="127">
        <f t="shared" ca="1" si="14"/>
        <v>39964.686279354821</v>
      </c>
      <c r="N260" s="146"/>
      <c r="O260" s="147"/>
    </row>
    <row r="261" spans="2:15" x14ac:dyDescent="0.25">
      <c r="B261" s="125">
        <v>254</v>
      </c>
      <c r="C261" s="126">
        <f t="shared" ca="1" si="16"/>
        <v>2720657.1664786558</v>
      </c>
      <c r="D261" s="126">
        <f t="shared" ca="1" si="15"/>
        <v>50560.133294681087</v>
      </c>
      <c r="E261" s="126">
        <f t="shared" ca="1" si="13"/>
        <v>10749.875655574644</v>
      </c>
      <c r="F261" s="127">
        <f t="shared" ca="1" si="14"/>
        <v>39810.257639106443</v>
      </c>
      <c r="N261" s="146"/>
      <c r="O261" s="147"/>
    </row>
    <row r="262" spans="2:15" x14ac:dyDescent="0.25">
      <c r="B262" s="125">
        <v>255</v>
      </c>
      <c r="C262" s="126">
        <f t="shared" ca="1" si="16"/>
        <v>2709750.6113854013</v>
      </c>
      <c r="D262" s="126">
        <f t="shared" ca="1" si="15"/>
        <v>50560.133294681073</v>
      </c>
      <c r="E262" s="126">
        <f t="shared" ca="1" si="13"/>
        <v>10906.555093254643</v>
      </c>
      <c r="F262" s="127">
        <f t="shared" ca="1" si="14"/>
        <v>39653.578201426433</v>
      </c>
      <c r="N262" s="146"/>
      <c r="O262" s="147"/>
    </row>
    <row r="263" spans="2:15" x14ac:dyDescent="0.25">
      <c r="B263" s="125">
        <v>256</v>
      </c>
      <c r="C263" s="126">
        <f t="shared" ca="1" si="16"/>
        <v>2698685.0932516623</v>
      </c>
      <c r="D263" s="126">
        <f t="shared" ca="1" si="15"/>
        <v>50560.13329468108</v>
      </c>
      <c r="E263" s="126">
        <f t="shared" ca="1" si="13"/>
        <v>11065.518133738829</v>
      </c>
      <c r="F263" s="127">
        <f t="shared" ca="1" si="14"/>
        <v>39494.615160942252</v>
      </c>
      <c r="N263" s="146"/>
      <c r="O263" s="147"/>
    </row>
    <row r="264" spans="2:15" x14ac:dyDescent="0.25">
      <c r="B264" s="125">
        <v>257</v>
      </c>
      <c r="C264" s="126">
        <f t="shared" ca="1" si="16"/>
        <v>2687458.2951911241</v>
      </c>
      <c r="D264" s="126">
        <f t="shared" ca="1" si="15"/>
        <v>50560.13329468108</v>
      </c>
      <c r="E264" s="126">
        <f t="shared" ref="E264:E327" ca="1" si="17">-IFERROR(IF(OR(B264&lt;=$J$30,$J$30=0),PPMT($J$35/12,B264,$J$12*12,$J$13),PPMT(($O$5+$J$35)/12,B264-$J$30,$J$12*12-$J$30,$J$13+CUMPRINC($J$35/12,$J$12*12,$J$13,1,$J$30,0))),0)</f>
        <v>11226.798060538074</v>
      </c>
      <c r="F264" s="127">
        <f t="shared" ref="F264:F327" ca="1" si="18">-IF(AND($O$8,B264&lt;=$J$22),IF($H$22="Без процентов",0,0.5),1)*IFERROR(IF(OR(B264&lt;=$J$30,$J$30=0),IPMT($J$35/12,B264,$J$12*12,$J$13),IPMT(($O$5+$J$35)/12,B264-$J$30,$J$12*12-$J$30,$J$13+CUMPRINC($J$35/12,$J$12*12,$J$13,1,$J$30,0),0,0)),0)</f>
        <v>39333.335234143007</v>
      </c>
      <c r="N264" s="146"/>
      <c r="O264" s="147"/>
    </row>
    <row r="265" spans="2:15" x14ac:dyDescent="0.25">
      <c r="B265" s="125">
        <v>258</v>
      </c>
      <c r="C265" s="126">
        <f t="shared" ca="1" si="16"/>
        <v>2676067.8665488535</v>
      </c>
      <c r="D265" s="126">
        <f t="shared" ref="D265:D328" ca="1" si="19">E265+F265</f>
        <v>50560.13329468108</v>
      </c>
      <c r="E265" s="126">
        <f t="shared" ca="1" si="17"/>
        <v>11390.428642270417</v>
      </c>
      <c r="F265" s="127">
        <f t="shared" ca="1" si="18"/>
        <v>39169.704652410663</v>
      </c>
      <c r="N265" s="146"/>
      <c r="O265" s="147"/>
    </row>
    <row r="266" spans="2:15" x14ac:dyDescent="0.25">
      <c r="B266" s="125">
        <v>259</v>
      </c>
      <c r="C266" s="126">
        <f t="shared" ca="1" si="16"/>
        <v>2664511.4224091219</v>
      </c>
      <c r="D266" s="126">
        <f t="shared" ca="1" si="19"/>
        <v>50560.13329468108</v>
      </c>
      <c r="E266" s="126">
        <f t="shared" ca="1" si="17"/>
        <v>11556.444139731508</v>
      </c>
      <c r="F266" s="127">
        <f t="shared" ca="1" si="18"/>
        <v>39003.68915494957</v>
      </c>
      <c r="N266" s="146"/>
      <c r="O266" s="147"/>
    </row>
    <row r="267" spans="2:15" x14ac:dyDescent="0.25">
      <c r="B267" s="125">
        <v>260</v>
      </c>
      <c r="C267" s="126">
        <f t="shared" ca="1" si="16"/>
        <v>2652786.5430960539</v>
      </c>
      <c r="D267" s="126">
        <f t="shared" ca="1" si="19"/>
        <v>50560.133294681087</v>
      </c>
      <c r="E267" s="126">
        <f t="shared" ca="1" si="17"/>
        <v>11724.879313068095</v>
      </c>
      <c r="F267" s="127">
        <f t="shared" ca="1" si="18"/>
        <v>38835.253981612994</v>
      </c>
      <c r="N267" s="146"/>
      <c r="O267" s="147"/>
    </row>
    <row r="268" spans="2:15" x14ac:dyDescent="0.25">
      <c r="B268" s="125">
        <v>261</v>
      </c>
      <c r="C268" s="126">
        <f t="shared" ca="1" si="16"/>
        <v>2640890.7736669979</v>
      </c>
      <c r="D268" s="126">
        <f t="shared" ca="1" si="19"/>
        <v>50560.13329468108</v>
      </c>
      <c r="E268" s="126">
        <f t="shared" ca="1" si="17"/>
        <v>11895.769429056063</v>
      </c>
      <c r="F268" s="127">
        <f t="shared" ca="1" si="18"/>
        <v>38664.363865625019</v>
      </c>
      <c r="N268" s="146"/>
      <c r="O268" s="147"/>
    </row>
    <row r="269" spans="2:15" x14ac:dyDescent="0.25">
      <c r="B269" s="125">
        <v>262</v>
      </c>
      <c r="C269" s="126">
        <f t="shared" ca="1" si="16"/>
        <v>2628821.6233985135</v>
      </c>
      <c r="D269" s="126">
        <f t="shared" ca="1" si="19"/>
        <v>50560.13329468108</v>
      </c>
      <c r="E269" s="126">
        <f t="shared" ca="1" si="17"/>
        <v>12069.150268484553</v>
      </c>
      <c r="F269" s="127">
        <f t="shared" ca="1" si="18"/>
        <v>38490.983026196525</v>
      </c>
      <c r="N269" s="146"/>
      <c r="O269" s="147"/>
    </row>
    <row r="270" spans="2:15" x14ac:dyDescent="0.25">
      <c r="B270" s="125">
        <v>263</v>
      </c>
      <c r="C270" s="126">
        <f t="shared" ca="1" si="16"/>
        <v>2616576.5652648658</v>
      </c>
      <c r="D270" s="126">
        <f t="shared" ca="1" si="19"/>
        <v>50560.133294681087</v>
      </c>
      <c r="E270" s="126">
        <f t="shared" ca="1" si="17"/>
        <v>12245.058133647717</v>
      </c>
      <c r="F270" s="127">
        <f t="shared" ca="1" si="18"/>
        <v>38315.075161033368</v>
      </c>
      <c r="N270" s="146"/>
      <c r="O270" s="147"/>
    </row>
    <row r="271" spans="2:15" x14ac:dyDescent="0.25">
      <c r="B271" s="125">
        <v>264</v>
      </c>
      <c r="C271" s="126">
        <f t="shared" ca="1" si="16"/>
        <v>2604153.0354089201</v>
      </c>
      <c r="D271" s="126">
        <f t="shared" ca="1" si="19"/>
        <v>50560.133294681087</v>
      </c>
      <c r="E271" s="126">
        <f t="shared" ca="1" si="17"/>
        <v>12423.529855945631</v>
      </c>
      <c r="F271" s="127">
        <f t="shared" ca="1" si="18"/>
        <v>38136.603438735452</v>
      </c>
      <c r="N271" s="146"/>
      <c r="O271" s="147"/>
    </row>
    <row r="272" spans="2:15" x14ac:dyDescent="0.25">
      <c r="B272" s="125">
        <v>265</v>
      </c>
      <c r="C272" s="126">
        <f t="shared" ca="1" si="16"/>
        <v>2591548.4326053243</v>
      </c>
      <c r="D272" s="126">
        <f t="shared" ca="1" si="19"/>
        <v>50560.133294681087</v>
      </c>
      <c r="E272" s="126">
        <f t="shared" ca="1" si="17"/>
        <v>12604.602803596039</v>
      </c>
      <c r="F272" s="127">
        <f t="shared" ca="1" si="18"/>
        <v>37955.530491085046</v>
      </c>
      <c r="N272" s="146"/>
      <c r="O272" s="147"/>
    </row>
    <row r="273" spans="2:15" x14ac:dyDescent="0.25">
      <c r="B273" s="125">
        <v>266</v>
      </c>
      <c r="C273" s="126">
        <f t="shared" ca="1" si="16"/>
        <v>2578760.1177158658</v>
      </c>
      <c r="D273" s="126">
        <f t="shared" ca="1" si="19"/>
        <v>50560.13329468108</v>
      </c>
      <c r="E273" s="126">
        <f t="shared" ca="1" si="17"/>
        <v>12788.314889458454</v>
      </c>
      <c r="F273" s="127">
        <f t="shared" ca="1" si="18"/>
        <v>37771.818405222628</v>
      </c>
      <c r="N273" s="146"/>
      <c r="O273" s="147"/>
    </row>
    <row r="274" spans="2:15" x14ac:dyDescent="0.25">
      <c r="B274" s="125">
        <v>267</v>
      </c>
      <c r="C274" s="126">
        <f t="shared" ca="1" si="16"/>
        <v>2565785.4131368934</v>
      </c>
      <c r="D274" s="126">
        <f t="shared" ca="1" si="19"/>
        <v>50560.13329468108</v>
      </c>
      <c r="E274" s="126">
        <f t="shared" ca="1" si="17"/>
        <v>12974.704578972307</v>
      </c>
      <c r="F274" s="127">
        <f t="shared" ca="1" si="18"/>
        <v>37585.428715708775</v>
      </c>
      <c r="N274" s="146"/>
      <c r="O274" s="147"/>
    </row>
    <row r="275" spans="2:15" x14ac:dyDescent="0.25">
      <c r="B275" s="125">
        <v>268</v>
      </c>
      <c r="C275" s="126">
        <f t="shared" ca="1" si="16"/>
        <v>2552621.6022386826</v>
      </c>
      <c r="D275" s="126">
        <f t="shared" ca="1" si="19"/>
        <v>50560.133294681087</v>
      </c>
      <c r="E275" s="126">
        <f t="shared" ca="1" si="17"/>
        <v>13163.810898210832</v>
      </c>
      <c r="F275" s="127">
        <f t="shared" ca="1" si="18"/>
        <v>37396.322396470256</v>
      </c>
      <c r="N275" s="146"/>
      <c r="O275" s="147"/>
    </row>
    <row r="276" spans="2:15" x14ac:dyDescent="0.25">
      <c r="B276" s="125">
        <v>269</v>
      </c>
      <c r="C276" s="126">
        <f t="shared" ca="1" si="16"/>
        <v>2539265.9287966304</v>
      </c>
      <c r="D276" s="126">
        <f t="shared" ca="1" si="19"/>
        <v>50560.133294681087</v>
      </c>
      <c r="E276" s="126">
        <f t="shared" ca="1" si="17"/>
        <v>13355.673442052252</v>
      </c>
      <c r="F276" s="127">
        <f t="shared" ca="1" si="18"/>
        <v>37204.459852628839</v>
      </c>
      <c r="N276" s="146"/>
      <c r="O276" s="147"/>
    </row>
    <row r="277" spans="2:15" x14ac:dyDescent="0.25">
      <c r="B277" s="125">
        <v>270</v>
      </c>
      <c r="C277" s="126">
        <f t="shared" ref="C277:C340" ca="1" si="20">C276-E277</f>
        <v>2525715.59641416</v>
      </c>
      <c r="D277" s="126">
        <f t="shared" ca="1" si="19"/>
        <v>50560.133294681087</v>
      </c>
      <c r="E277" s="126">
        <f t="shared" ca="1" si="17"/>
        <v>13550.332382470166</v>
      </c>
      <c r="F277" s="127">
        <f t="shared" ca="1" si="18"/>
        <v>37009.800912210922</v>
      </c>
      <c r="N277" s="146"/>
      <c r="O277" s="147"/>
    </row>
    <row r="278" spans="2:15" x14ac:dyDescent="0.25">
      <c r="B278" s="125">
        <v>271</v>
      </c>
      <c r="C278" s="126">
        <f t="shared" ca="1" si="20"/>
        <v>2511967.7679372155</v>
      </c>
      <c r="D278" s="126">
        <f t="shared" ca="1" si="19"/>
        <v>50560.133294681073</v>
      </c>
      <c r="E278" s="126">
        <f t="shared" ca="1" si="17"/>
        <v>13747.828476944665</v>
      </c>
      <c r="F278" s="127">
        <f t="shared" ca="1" si="18"/>
        <v>36812.304817736411</v>
      </c>
      <c r="N278" s="146"/>
      <c r="O278" s="147"/>
    </row>
    <row r="279" spans="2:15" x14ac:dyDescent="0.25">
      <c r="B279" s="125">
        <v>272</v>
      </c>
      <c r="C279" s="126">
        <f t="shared" ca="1" si="20"/>
        <v>2498019.5648602196</v>
      </c>
      <c r="D279" s="126">
        <f t="shared" ca="1" si="19"/>
        <v>50560.13329468108</v>
      </c>
      <c r="E279" s="126">
        <f t="shared" ca="1" si="17"/>
        <v>13948.203076996133</v>
      </c>
      <c r="F279" s="127">
        <f t="shared" ca="1" si="18"/>
        <v>36611.930217684945</v>
      </c>
      <c r="N279" s="146"/>
      <c r="O279" s="147"/>
    </row>
    <row r="280" spans="2:15" x14ac:dyDescent="0.25">
      <c r="B280" s="125">
        <v>273</v>
      </c>
      <c r="C280" s="126">
        <f t="shared" ca="1" si="20"/>
        <v>2483868.066723376</v>
      </c>
      <c r="D280" s="126">
        <f t="shared" ca="1" si="19"/>
        <v>50560.133294681087</v>
      </c>
      <c r="E280" s="126">
        <f t="shared" ca="1" si="17"/>
        <v>14151.498136843355</v>
      </c>
      <c r="F280" s="127">
        <f t="shared" ca="1" si="18"/>
        <v>36408.635157837729</v>
      </c>
      <c r="N280" s="146"/>
      <c r="O280" s="147"/>
    </row>
    <row r="281" spans="2:15" x14ac:dyDescent="0.25">
      <c r="B281" s="125">
        <v>274</v>
      </c>
      <c r="C281" s="126">
        <f t="shared" ca="1" si="20"/>
        <v>2469510.310501188</v>
      </c>
      <c r="D281" s="126">
        <f t="shared" ca="1" si="19"/>
        <v>50560.13329468108</v>
      </c>
      <c r="E281" s="126">
        <f t="shared" ca="1" si="17"/>
        <v>14357.756222187849</v>
      </c>
      <c r="F281" s="127">
        <f t="shared" ca="1" si="18"/>
        <v>36202.377072493233</v>
      </c>
      <c r="N281" s="146"/>
      <c r="O281" s="147"/>
    </row>
    <row r="282" spans="2:15" x14ac:dyDescent="0.25">
      <c r="B282" s="125">
        <v>275</v>
      </c>
      <c r="C282" s="126">
        <f t="shared" ca="1" si="20"/>
        <v>2454943.2899820618</v>
      </c>
      <c r="D282" s="126">
        <f t="shared" ca="1" si="19"/>
        <v>50560.133294681087</v>
      </c>
      <c r="E282" s="126">
        <f t="shared" ca="1" si="17"/>
        <v>14567.020519126234</v>
      </c>
      <c r="F282" s="127">
        <f t="shared" ca="1" si="18"/>
        <v>35993.112775554851</v>
      </c>
      <c r="N282" s="146"/>
      <c r="O282" s="147"/>
    </row>
    <row r="283" spans="2:15" x14ac:dyDescent="0.25">
      <c r="B283" s="125">
        <v>276</v>
      </c>
      <c r="C283" s="126">
        <f t="shared" ca="1" si="20"/>
        <v>2440163.9551388691</v>
      </c>
      <c r="D283" s="126">
        <f t="shared" ca="1" si="19"/>
        <v>50560.13329468108</v>
      </c>
      <c r="E283" s="126">
        <f t="shared" ca="1" si="17"/>
        <v>14779.334843192499</v>
      </c>
      <c r="F283" s="127">
        <f t="shared" ca="1" si="18"/>
        <v>35780.798451488583</v>
      </c>
      <c r="N283" s="146"/>
      <c r="O283" s="147"/>
    </row>
    <row r="284" spans="2:15" x14ac:dyDescent="0.25">
      <c r="B284" s="125">
        <v>277</v>
      </c>
      <c r="C284" s="126">
        <f t="shared" ca="1" si="20"/>
        <v>2425169.2114903373</v>
      </c>
      <c r="D284" s="126">
        <f t="shared" ca="1" si="19"/>
        <v>50560.133294681087</v>
      </c>
      <c r="E284" s="126">
        <f t="shared" ca="1" si="17"/>
        <v>14994.743648532032</v>
      </c>
      <c r="F284" s="127">
        <f t="shared" ca="1" si="18"/>
        <v>35565.389646149051</v>
      </c>
      <c r="N284" s="146"/>
      <c r="O284" s="147"/>
    </row>
    <row r="285" spans="2:15" x14ac:dyDescent="0.25">
      <c r="B285" s="125">
        <v>278</v>
      </c>
      <c r="C285" s="126">
        <f t="shared" ca="1" si="20"/>
        <v>2409955.9194531278</v>
      </c>
      <c r="D285" s="126">
        <f t="shared" ca="1" si="19"/>
        <v>50560.133294681087</v>
      </c>
      <c r="E285" s="126">
        <f t="shared" ca="1" si="17"/>
        <v>15213.292037209385</v>
      </c>
      <c r="F285" s="127">
        <f t="shared" ca="1" si="18"/>
        <v>35346.8412574717</v>
      </c>
      <c r="N285" s="146"/>
      <c r="O285" s="147"/>
    </row>
    <row r="286" spans="2:15" x14ac:dyDescent="0.25">
      <c r="B286" s="125">
        <v>279</v>
      </c>
      <c r="C286" s="126">
        <f t="shared" ca="1" si="20"/>
        <v>2394520.8936844761</v>
      </c>
      <c r="D286" s="126">
        <f t="shared" ca="1" si="19"/>
        <v>50560.133294681087</v>
      </c>
      <c r="E286" s="126">
        <f t="shared" ca="1" si="17"/>
        <v>15435.025768651712</v>
      </c>
      <c r="F286" s="127">
        <f t="shared" ca="1" si="18"/>
        <v>35125.107526029373</v>
      </c>
      <c r="N286" s="146"/>
      <c r="O286" s="147"/>
    </row>
    <row r="287" spans="2:15" x14ac:dyDescent="0.25">
      <c r="B287" s="125">
        <v>280</v>
      </c>
      <c r="C287" s="126">
        <f t="shared" ca="1" si="20"/>
        <v>2378860.9024152462</v>
      </c>
      <c r="D287" s="126">
        <f t="shared" ca="1" si="19"/>
        <v>50560.13329468108</v>
      </c>
      <c r="E287" s="126">
        <f t="shared" ca="1" si="17"/>
        <v>15659.991269229809</v>
      </c>
      <c r="F287" s="127">
        <f t="shared" ca="1" si="18"/>
        <v>34900.14202545127</v>
      </c>
      <c r="N287" s="146"/>
      <c r="O287" s="147"/>
    </row>
    <row r="288" spans="2:15" x14ac:dyDescent="0.25">
      <c r="B288" s="125">
        <v>281</v>
      </c>
      <c r="C288" s="126">
        <f t="shared" ca="1" si="20"/>
        <v>2362972.6667732676</v>
      </c>
      <c r="D288" s="126">
        <f t="shared" ca="1" si="19"/>
        <v>50560.13329468108</v>
      </c>
      <c r="E288" s="126">
        <f t="shared" ca="1" si="17"/>
        <v>15888.235641978836</v>
      </c>
      <c r="F288" s="127">
        <f t="shared" ca="1" si="18"/>
        <v>34671.897652702246</v>
      </c>
      <c r="N288" s="146"/>
      <c r="O288" s="147"/>
    </row>
    <row r="289" spans="2:15" x14ac:dyDescent="0.25">
      <c r="B289" s="125">
        <v>282</v>
      </c>
      <c r="C289" s="126">
        <f t="shared" ca="1" si="20"/>
        <v>2346852.8600968067</v>
      </c>
      <c r="D289" s="126">
        <f t="shared" ca="1" si="19"/>
        <v>50560.133294681087</v>
      </c>
      <c r="E289" s="126">
        <f t="shared" ca="1" si="17"/>
        <v>16119.806676460677</v>
      </c>
      <c r="F289" s="127">
        <f t="shared" ca="1" si="18"/>
        <v>34440.32661822041</v>
      </c>
      <c r="N289" s="146"/>
      <c r="O289" s="147"/>
    </row>
    <row r="290" spans="2:15" x14ac:dyDescent="0.25">
      <c r="B290" s="125">
        <v>283</v>
      </c>
      <c r="C290" s="126">
        <f t="shared" ca="1" si="20"/>
        <v>2330498.1072380366</v>
      </c>
      <c r="D290" s="126">
        <f t="shared" ca="1" si="19"/>
        <v>50560.13329468108</v>
      </c>
      <c r="E290" s="126">
        <f t="shared" ca="1" si="17"/>
        <v>16354.752858770089</v>
      </c>
      <c r="F290" s="127">
        <f t="shared" ca="1" si="18"/>
        <v>34205.380435910993</v>
      </c>
      <c r="N290" s="146"/>
      <c r="O290" s="147"/>
    </row>
    <row r="291" spans="2:15" x14ac:dyDescent="0.25">
      <c r="B291" s="125">
        <v>284</v>
      </c>
      <c r="C291" s="126">
        <f t="shared" ca="1" si="20"/>
        <v>2313904.9838563497</v>
      </c>
      <c r="D291" s="126">
        <f t="shared" ca="1" si="19"/>
        <v>50560.133294681073</v>
      </c>
      <c r="E291" s="126">
        <f t="shared" ca="1" si="17"/>
        <v>16593.123381686662</v>
      </c>
      <c r="F291" s="127">
        <f t="shared" ca="1" si="18"/>
        <v>33967.009912994414</v>
      </c>
      <c r="N291" s="146"/>
      <c r="O291" s="147"/>
    </row>
    <row r="292" spans="2:15" x14ac:dyDescent="0.25">
      <c r="B292" s="125">
        <v>285</v>
      </c>
      <c r="C292" s="126">
        <f t="shared" ca="1" si="20"/>
        <v>2297070.015701375</v>
      </c>
      <c r="D292" s="126">
        <f t="shared" ca="1" si="19"/>
        <v>50560.133294681087</v>
      </c>
      <c r="E292" s="126">
        <f t="shared" ca="1" si="17"/>
        <v>16834.968154974744</v>
      </c>
      <c r="F292" s="127">
        <f t="shared" ca="1" si="18"/>
        <v>33725.16513970634</v>
      </c>
      <c r="N292" s="146"/>
      <c r="O292" s="147"/>
    </row>
    <row r="293" spans="2:15" x14ac:dyDescent="0.25">
      <c r="B293" s="125">
        <v>286</v>
      </c>
      <c r="C293" s="126">
        <f t="shared" ca="1" si="20"/>
        <v>2279989.6778855417</v>
      </c>
      <c r="D293" s="126">
        <f t="shared" ca="1" si="19"/>
        <v>50560.13329468108</v>
      </c>
      <c r="E293" s="126">
        <f t="shared" ca="1" si="17"/>
        <v>17080.337815833504</v>
      </c>
      <c r="F293" s="127">
        <f t="shared" ca="1" si="18"/>
        <v>33479.795478847576</v>
      </c>
      <c r="N293" s="146"/>
      <c r="O293" s="147"/>
    </row>
    <row r="294" spans="2:15" x14ac:dyDescent="0.25">
      <c r="B294" s="125">
        <v>287</v>
      </c>
      <c r="C294" s="126">
        <f t="shared" ca="1" si="20"/>
        <v>2262660.3941460424</v>
      </c>
      <c r="D294" s="126">
        <f t="shared" ca="1" si="19"/>
        <v>50560.133294681087</v>
      </c>
      <c r="E294" s="126">
        <f t="shared" ca="1" si="17"/>
        <v>17329.283739499275</v>
      </c>
      <c r="F294" s="127">
        <f t="shared" ca="1" si="18"/>
        <v>33230.849555181812</v>
      </c>
      <c r="N294" s="146"/>
      <c r="O294" s="147"/>
    </row>
    <row r="295" spans="2:15" x14ac:dyDescent="0.25">
      <c r="B295" s="125">
        <v>288</v>
      </c>
      <c r="C295" s="126">
        <f t="shared" ca="1" si="20"/>
        <v>2245078.5360960402</v>
      </c>
      <c r="D295" s="126">
        <f t="shared" ca="1" si="19"/>
        <v>50560.13329468108</v>
      </c>
      <c r="E295" s="126">
        <f t="shared" ca="1" si="17"/>
        <v>17581.858050002476</v>
      </c>
      <c r="F295" s="127">
        <f t="shared" ca="1" si="18"/>
        <v>32978.275244678603</v>
      </c>
      <c r="N295" s="146"/>
      <c r="O295" s="147"/>
    </row>
    <row r="296" spans="2:15" x14ac:dyDescent="0.25">
      <c r="B296" s="125">
        <v>289</v>
      </c>
      <c r="C296" s="126">
        <f t="shared" ca="1" si="20"/>
        <v>2227240.4224649589</v>
      </c>
      <c r="D296" s="126">
        <f t="shared" ca="1" si="19"/>
        <v>50560.133294681087</v>
      </c>
      <c r="E296" s="126">
        <f t="shared" ca="1" si="17"/>
        <v>17838.113631081265</v>
      </c>
      <c r="F296" s="127">
        <f t="shared" ca="1" si="18"/>
        <v>32722.019663599818</v>
      </c>
      <c r="N296" s="146"/>
      <c r="O296" s="147"/>
    </row>
    <row r="297" spans="2:15" x14ac:dyDescent="0.25">
      <c r="B297" s="125">
        <v>290</v>
      </c>
      <c r="C297" s="126">
        <f t="shared" ca="1" si="20"/>
        <v>2209142.3183277044</v>
      </c>
      <c r="D297" s="126">
        <f t="shared" ca="1" si="19"/>
        <v>50560.133294681073</v>
      </c>
      <c r="E297" s="126">
        <f t="shared" ca="1" si="17"/>
        <v>18098.104137254275</v>
      </c>
      <c r="F297" s="127">
        <f t="shared" ca="1" si="18"/>
        <v>32462.029157426801</v>
      </c>
      <c r="N297" s="146"/>
      <c r="O297" s="147"/>
    </row>
    <row r="298" spans="2:15" x14ac:dyDescent="0.25">
      <c r="B298" s="125">
        <v>291</v>
      </c>
      <c r="C298" s="126">
        <f t="shared" ca="1" si="20"/>
        <v>2190780.4343226496</v>
      </c>
      <c r="D298" s="126">
        <f t="shared" ca="1" si="19"/>
        <v>50560.13329468108</v>
      </c>
      <c r="E298" s="126">
        <f t="shared" ca="1" si="17"/>
        <v>18361.884005054755</v>
      </c>
      <c r="F298" s="127">
        <f t="shared" ca="1" si="18"/>
        <v>32198.249289626325</v>
      </c>
      <c r="N298" s="146"/>
      <c r="O298" s="147"/>
    </row>
    <row r="299" spans="2:15" x14ac:dyDescent="0.25">
      <c r="B299" s="125">
        <v>292</v>
      </c>
      <c r="C299" s="126">
        <f t="shared" ca="1" si="20"/>
        <v>2172150.925858221</v>
      </c>
      <c r="D299" s="126">
        <f t="shared" ca="1" si="19"/>
        <v>50560.13329468108</v>
      </c>
      <c r="E299" s="126">
        <f t="shared" ca="1" si="17"/>
        <v>18629.508464428429</v>
      </c>
      <c r="F299" s="127">
        <f t="shared" ca="1" si="18"/>
        <v>31930.624830252651</v>
      </c>
      <c r="N299" s="146"/>
      <c r="O299" s="147"/>
    </row>
    <row r="300" spans="2:15" x14ac:dyDescent="0.25">
      <c r="B300" s="125">
        <v>293</v>
      </c>
      <c r="C300" s="126">
        <f t="shared" ca="1" si="20"/>
        <v>2153249.8923079236</v>
      </c>
      <c r="D300" s="126">
        <f t="shared" ca="1" si="19"/>
        <v>50560.133294681087</v>
      </c>
      <c r="E300" s="126">
        <f t="shared" ca="1" si="17"/>
        <v>18901.033550297474</v>
      </c>
      <c r="F300" s="127">
        <f t="shared" ca="1" si="18"/>
        <v>31659.09974438361</v>
      </c>
      <c r="N300" s="146"/>
      <c r="O300" s="147"/>
    </row>
    <row r="301" spans="2:15" x14ac:dyDescent="0.25">
      <c r="B301" s="125">
        <v>294</v>
      </c>
      <c r="C301" s="126">
        <f t="shared" ca="1" si="20"/>
        <v>2134073.3761936305</v>
      </c>
      <c r="D301" s="126">
        <f t="shared" ca="1" si="19"/>
        <v>50560.133294681087</v>
      </c>
      <c r="E301" s="126">
        <f t="shared" ca="1" si="17"/>
        <v>19176.516114293059</v>
      </c>
      <c r="F301" s="127">
        <f t="shared" ca="1" si="18"/>
        <v>31383.617180388028</v>
      </c>
      <c r="N301" s="146"/>
      <c r="O301" s="147"/>
    </row>
    <row r="302" spans="2:15" x14ac:dyDescent="0.25">
      <c r="B302" s="125">
        <v>295</v>
      </c>
      <c r="C302" s="126">
        <f t="shared" ca="1" si="20"/>
        <v>2114617.3623569715</v>
      </c>
      <c r="D302" s="126">
        <f t="shared" ca="1" si="19"/>
        <v>50560.133294681073</v>
      </c>
      <c r="E302" s="126">
        <f t="shared" ca="1" si="17"/>
        <v>19456.01383665888</v>
      </c>
      <c r="F302" s="127">
        <f t="shared" ca="1" si="18"/>
        <v>31104.119458022196</v>
      </c>
      <c r="N302" s="146"/>
      <c r="O302" s="147"/>
    </row>
    <row r="303" spans="2:15" x14ac:dyDescent="0.25">
      <c r="B303" s="125">
        <v>296</v>
      </c>
      <c r="C303" s="126">
        <f t="shared" ca="1" si="20"/>
        <v>2094877.7771186433</v>
      </c>
      <c r="D303" s="126">
        <f t="shared" ca="1" si="19"/>
        <v>50560.133294681087</v>
      </c>
      <c r="E303" s="126">
        <f t="shared" ca="1" si="17"/>
        <v>19739.585238328185</v>
      </c>
      <c r="F303" s="127">
        <f t="shared" ca="1" si="18"/>
        <v>30820.548056352905</v>
      </c>
      <c r="N303" s="146"/>
      <c r="O303" s="147"/>
    </row>
    <row r="304" spans="2:15" x14ac:dyDescent="0.25">
      <c r="B304" s="125">
        <v>297</v>
      </c>
      <c r="C304" s="126">
        <f t="shared" ca="1" si="20"/>
        <v>2074850.4874254665</v>
      </c>
      <c r="D304" s="126">
        <f t="shared" ca="1" si="19"/>
        <v>50560.13329468108</v>
      </c>
      <c r="E304" s="126">
        <f t="shared" ca="1" si="17"/>
        <v>20027.289693176815</v>
      </c>
      <c r="F304" s="127">
        <f t="shared" ca="1" si="18"/>
        <v>30532.843601504264</v>
      </c>
      <c r="N304" s="146"/>
      <c r="O304" s="147"/>
    </row>
    <row r="305" spans="2:15" x14ac:dyDescent="0.25">
      <c r="B305" s="125">
        <v>298</v>
      </c>
      <c r="C305" s="126">
        <f t="shared" ca="1" si="20"/>
        <v>2054531.2999850116</v>
      </c>
      <c r="D305" s="126">
        <f t="shared" ca="1" si="19"/>
        <v>50560.133294681087</v>
      </c>
      <c r="E305" s="126">
        <f t="shared" ca="1" si="17"/>
        <v>20319.187440454869</v>
      </c>
      <c r="F305" s="127">
        <f t="shared" ca="1" si="18"/>
        <v>30240.945854226222</v>
      </c>
      <c r="N305" s="146"/>
      <c r="O305" s="147"/>
    </row>
    <row r="306" spans="2:15" x14ac:dyDescent="0.25">
      <c r="B306" s="125">
        <v>299</v>
      </c>
      <c r="C306" s="126">
        <f t="shared" ca="1" si="20"/>
        <v>2033915.960387612</v>
      </c>
      <c r="D306" s="126">
        <f t="shared" ca="1" si="19"/>
        <v>50560.133294681087</v>
      </c>
      <c r="E306" s="126">
        <f t="shared" ca="1" si="17"/>
        <v>20615.339597399499</v>
      </c>
      <c r="F306" s="127">
        <f t="shared" ca="1" si="18"/>
        <v>29944.793697281584</v>
      </c>
      <c r="N306" s="146"/>
      <c r="O306" s="147"/>
    </row>
    <row r="307" spans="2:15" x14ac:dyDescent="0.25">
      <c r="B307" s="125">
        <v>300</v>
      </c>
      <c r="C307" s="126">
        <f t="shared" ca="1" si="20"/>
        <v>2013000.1522155805</v>
      </c>
      <c r="D307" s="126">
        <f t="shared" ca="1" si="19"/>
        <v>50560.13329468108</v>
      </c>
      <c r="E307" s="126">
        <f t="shared" ca="1" si="17"/>
        <v>20915.808172031597</v>
      </c>
      <c r="F307" s="127">
        <f t="shared" ca="1" si="18"/>
        <v>29644.325122649483</v>
      </c>
      <c r="N307" s="146"/>
      <c r="O307" s="147"/>
    </row>
    <row r="308" spans="2:15" x14ac:dyDescent="0.25">
      <c r="B308" s="125">
        <v>301</v>
      </c>
      <c r="C308" s="126">
        <f t="shared" ca="1" si="20"/>
        <v>1991779.4961394416</v>
      </c>
      <c r="D308" s="126">
        <f t="shared" ca="1" si="19"/>
        <v>50560.133294681087</v>
      </c>
      <c r="E308" s="126">
        <f t="shared" ca="1" si="17"/>
        <v>21220.656076138956</v>
      </c>
      <c r="F308" s="127">
        <f t="shared" ca="1" si="18"/>
        <v>29339.477218542128</v>
      </c>
      <c r="N308" s="146"/>
      <c r="O308" s="147"/>
    </row>
    <row r="309" spans="2:15" x14ac:dyDescent="0.25">
      <c r="B309" s="125">
        <v>302</v>
      </c>
      <c r="C309" s="126">
        <f t="shared" ca="1" si="20"/>
        <v>1970249.5490009929</v>
      </c>
      <c r="D309" s="126">
        <f t="shared" ca="1" si="19"/>
        <v>50560.133294681087</v>
      </c>
      <c r="E309" s="126">
        <f t="shared" ca="1" si="17"/>
        <v>21529.947138448682</v>
      </c>
      <c r="F309" s="127">
        <f t="shared" ca="1" si="18"/>
        <v>29030.186156232401</v>
      </c>
      <c r="N309" s="146"/>
      <c r="O309" s="147"/>
    </row>
    <row r="310" spans="2:15" x14ac:dyDescent="0.25">
      <c r="B310" s="125">
        <v>303</v>
      </c>
      <c r="C310" s="126">
        <f t="shared" ca="1" si="20"/>
        <v>1948405.8028830013</v>
      </c>
      <c r="D310" s="126">
        <f t="shared" ca="1" si="19"/>
        <v>50560.133294681087</v>
      </c>
      <c r="E310" s="126">
        <f t="shared" ca="1" si="17"/>
        <v>21843.746117991574</v>
      </c>
      <c r="F310" s="127">
        <f t="shared" ca="1" si="18"/>
        <v>28716.38717668951</v>
      </c>
      <c r="N310" s="146"/>
      <c r="O310" s="147"/>
    </row>
    <row r="311" spans="2:15" x14ac:dyDescent="0.25">
      <c r="B311" s="125">
        <v>304</v>
      </c>
      <c r="C311" s="126">
        <f t="shared" ca="1" si="20"/>
        <v>1926243.6841653399</v>
      </c>
      <c r="D311" s="126">
        <f t="shared" ca="1" si="19"/>
        <v>50560.13329468108</v>
      </c>
      <c r="E311" s="126">
        <f t="shared" ca="1" si="17"/>
        <v>22162.118717661298</v>
      </c>
      <c r="F311" s="127">
        <f t="shared" ca="1" si="18"/>
        <v>28398.014577019781</v>
      </c>
      <c r="N311" s="146"/>
      <c r="O311" s="147"/>
    </row>
    <row r="312" spans="2:15" x14ac:dyDescent="0.25">
      <c r="B312" s="125">
        <v>305</v>
      </c>
      <c r="C312" s="126">
        <f t="shared" ca="1" si="20"/>
        <v>1903758.5525673686</v>
      </c>
      <c r="D312" s="126">
        <f t="shared" ca="1" si="19"/>
        <v>50560.13329468108</v>
      </c>
      <c r="E312" s="126">
        <f t="shared" ca="1" si="17"/>
        <v>22485.131597971213</v>
      </c>
      <c r="F312" s="127">
        <f t="shared" ca="1" si="18"/>
        <v>28075.001696709867</v>
      </c>
      <c r="N312" s="146"/>
      <c r="O312" s="147"/>
    </row>
    <row r="313" spans="2:15" x14ac:dyDescent="0.25">
      <c r="B313" s="125">
        <v>306</v>
      </c>
      <c r="C313" s="126">
        <f t="shared" ca="1" si="20"/>
        <v>1880945.7001763571</v>
      </c>
      <c r="D313" s="126">
        <f t="shared" ca="1" si="19"/>
        <v>50560.133294681087</v>
      </c>
      <c r="E313" s="126">
        <f t="shared" ca="1" si="17"/>
        <v>22812.852391011642</v>
      </c>
      <c r="F313" s="127">
        <f t="shared" ca="1" si="18"/>
        <v>27747.280903669442</v>
      </c>
      <c r="N313" s="146"/>
      <c r="O313" s="147"/>
    </row>
    <row r="314" spans="2:15" x14ac:dyDescent="0.25">
      <c r="B314" s="125">
        <v>307</v>
      </c>
      <c r="C314" s="126">
        <f t="shared" ca="1" si="20"/>
        <v>1857800.3504617463</v>
      </c>
      <c r="D314" s="126">
        <f t="shared" ca="1" si="19"/>
        <v>50560.133294681087</v>
      </c>
      <c r="E314" s="126">
        <f t="shared" ca="1" si="17"/>
        <v>23145.349714610635</v>
      </c>
      <c r="F314" s="127">
        <f t="shared" ca="1" si="18"/>
        <v>27414.783580070449</v>
      </c>
      <c r="N314" s="146"/>
      <c r="O314" s="147"/>
    </row>
    <row r="315" spans="2:15" x14ac:dyDescent="0.25">
      <c r="B315" s="125">
        <v>308</v>
      </c>
      <c r="C315" s="126">
        <f t="shared" ca="1" si="20"/>
        <v>1834317.6572750453</v>
      </c>
      <c r="D315" s="126">
        <f t="shared" ca="1" si="19"/>
        <v>50560.133294681087</v>
      </c>
      <c r="E315" s="126">
        <f t="shared" ca="1" si="17"/>
        <v>23482.693186701086</v>
      </c>
      <c r="F315" s="127">
        <f t="shared" ca="1" si="18"/>
        <v>27077.440107979997</v>
      </c>
      <c r="N315" s="146"/>
      <c r="O315" s="147"/>
    </row>
    <row r="316" spans="2:15" x14ac:dyDescent="0.25">
      <c r="B316" s="125">
        <v>309</v>
      </c>
      <c r="C316" s="126">
        <f t="shared" ca="1" si="20"/>
        <v>1810492.7038351481</v>
      </c>
      <c r="D316" s="126">
        <f t="shared" ca="1" si="19"/>
        <v>50560.133294681087</v>
      </c>
      <c r="E316" s="126">
        <f t="shared" ca="1" si="17"/>
        <v>23824.953439897254</v>
      </c>
      <c r="F316" s="127">
        <f t="shared" ca="1" si="18"/>
        <v>26735.17985478383</v>
      </c>
      <c r="N316" s="146"/>
      <c r="O316" s="147"/>
    </row>
    <row r="317" spans="2:15" x14ac:dyDescent="0.25">
      <c r="B317" s="125">
        <v>310</v>
      </c>
      <c r="C317" s="126">
        <f t="shared" ca="1" si="20"/>
        <v>1786320.5016988644</v>
      </c>
      <c r="D317" s="126">
        <f t="shared" ca="1" si="19"/>
        <v>50560.133294681087</v>
      </c>
      <c r="E317" s="126">
        <f t="shared" ca="1" si="17"/>
        <v>24172.202136283759</v>
      </c>
      <c r="F317" s="127">
        <f t="shared" ca="1" si="18"/>
        <v>26387.931158397329</v>
      </c>
      <c r="N317" s="146"/>
      <c r="O317" s="147"/>
    </row>
    <row r="318" spans="2:15" x14ac:dyDescent="0.25">
      <c r="B318" s="125">
        <v>311</v>
      </c>
      <c r="C318" s="126">
        <f t="shared" ca="1" si="20"/>
        <v>1761795.9897164444</v>
      </c>
      <c r="D318" s="126">
        <f t="shared" ca="1" si="19"/>
        <v>50560.13329468108</v>
      </c>
      <c r="E318" s="126">
        <f t="shared" ca="1" si="17"/>
        <v>24524.511982420096</v>
      </c>
      <c r="F318" s="127">
        <f t="shared" ca="1" si="18"/>
        <v>26035.621312260984</v>
      </c>
      <c r="N318" s="146"/>
      <c r="O318" s="147"/>
    </row>
    <row r="319" spans="2:15" x14ac:dyDescent="0.25">
      <c r="B319" s="125">
        <v>312</v>
      </c>
      <c r="C319" s="126">
        <f t="shared" ca="1" si="20"/>
        <v>1736914.0329718806</v>
      </c>
      <c r="D319" s="126">
        <f t="shared" ca="1" si="19"/>
        <v>50560.13329468108</v>
      </c>
      <c r="E319" s="126">
        <f t="shared" ca="1" si="17"/>
        <v>24881.956744563864</v>
      </c>
      <c r="F319" s="127">
        <f t="shared" ca="1" si="18"/>
        <v>25678.176550117216</v>
      </c>
      <c r="N319" s="146"/>
      <c r="O319" s="147"/>
    </row>
    <row r="320" spans="2:15" x14ac:dyDescent="0.25">
      <c r="B320" s="125">
        <v>313</v>
      </c>
      <c r="C320" s="126">
        <f t="shared" ca="1" si="20"/>
        <v>1711669.4217077647</v>
      </c>
      <c r="D320" s="126">
        <f t="shared" ca="1" si="19"/>
        <v>50560.133294681087</v>
      </c>
      <c r="E320" s="126">
        <f t="shared" ca="1" si="17"/>
        <v>25244.611264115887</v>
      </c>
      <c r="F320" s="127">
        <f t="shared" ca="1" si="18"/>
        <v>25315.522030565196</v>
      </c>
      <c r="N320" s="146"/>
      <c r="O320" s="147"/>
    </row>
    <row r="321" spans="2:15" x14ac:dyDescent="0.25">
      <c r="B321" s="125">
        <v>314</v>
      </c>
      <c r="C321" s="126">
        <f t="shared" ca="1" si="20"/>
        <v>1686056.8702344743</v>
      </c>
      <c r="D321" s="126">
        <f t="shared" ca="1" si="19"/>
        <v>50560.13329468108</v>
      </c>
      <c r="E321" s="126">
        <f t="shared" ca="1" si="17"/>
        <v>25612.551473290372</v>
      </c>
      <c r="F321" s="127">
        <f t="shared" ca="1" si="18"/>
        <v>24947.581821390708</v>
      </c>
      <c r="N321" s="146"/>
      <c r="O321" s="147"/>
    </row>
    <row r="322" spans="2:15" x14ac:dyDescent="0.25">
      <c r="B322" s="125">
        <v>315</v>
      </c>
      <c r="C322" s="126">
        <f t="shared" ca="1" si="20"/>
        <v>1660071.0158234606</v>
      </c>
      <c r="D322" s="126">
        <f t="shared" ca="1" si="19"/>
        <v>50560.133294681087</v>
      </c>
      <c r="E322" s="126">
        <f t="shared" ca="1" si="17"/>
        <v>25985.854411013581</v>
      </c>
      <c r="F322" s="127">
        <f t="shared" ca="1" si="18"/>
        <v>24574.278883667506</v>
      </c>
      <c r="N322" s="146"/>
      <c r="O322" s="147"/>
    </row>
    <row r="323" spans="2:15" x14ac:dyDescent="0.25">
      <c r="B323" s="125">
        <v>316</v>
      </c>
      <c r="C323" s="126">
        <f t="shared" ca="1" si="20"/>
        <v>1633706.4175844064</v>
      </c>
      <c r="D323" s="126">
        <f t="shared" ca="1" si="19"/>
        <v>50560.13329468108</v>
      </c>
      <c r="E323" s="126">
        <f t="shared" ca="1" si="17"/>
        <v>26364.598239054103</v>
      </c>
      <c r="F323" s="127">
        <f t="shared" ca="1" si="18"/>
        <v>24195.535055626977</v>
      </c>
      <c r="N323" s="146"/>
      <c r="O323" s="147"/>
    </row>
    <row r="324" spans="2:15" x14ac:dyDescent="0.25">
      <c r="B324" s="125">
        <v>317</v>
      </c>
      <c r="C324" s="126">
        <f t="shared" ca="1" si="20"/>
        <v>1606957.555326018</v>
      </c>
      <c r="D324" s="126">
        <f t="shared" ca="1" si="19"/>
        <v>50560.133294681087</v>
      </c>
      <c r="E324" s="126">
        <f t="shared" ca="1" si="17"/>
        <v>26748.862258388319</v>
      </c>
      <c r="F324" s="127">
        <f t="shared" ca="1" si="18"/>
        <v>23811.271036292765</v>
      </c>
      <c r="N324" s="146"/>
      <c r="O324" s="147"/>
    </row>
    <row r="325" spans="2:15" x14ac:dyDescent="0.25">
      <c r="B325" s="125">
        <v>318</v>
      </c>
      <c r="C325" s="126">
        <f t="shared" ca="1" si="20"/>
        <v>1579818.8284002137</v>
      </c>
      <c r="D325" s="126">
        <f t="shared" ca="1" si="19"/>
        <v>50560.133294681087</v>
      </c>
      <c r="E325" s="126">
        <f t="shared" ca="1" si="17"/>
        <v>27138.726925804327</v>
      </c>
      <c r="F325" s="127">
        <f t="shared" ca="1" si="18"/>
        <v>23421.406368876756</v>
      </c>
      <c r="N325" s="146"/>
      <c r="O325" s="147"/>
    </row>
    <row r="326" spans="2:15" x14ac:dyDescent="0.25">
      <c r="B326" s="125">
        <v>319</v>
      </c>
      <c r="C326" s="126">
        <f t="shared" ca="1" si="20"/>
        <v>1552284.5545294657</v>
      </c>
      <c r="D326" s="126">
        <f t="shared" ca="1" si="19"/>
        <v>50560.13329468108</v>
      </c>
      <c r="E326" s="126">
        <f t="shared" ca="1" si="17"/>
        <v>27534.273870747926</v>
      </c>
      <c r="F326" s="127">
        <f t="shared" ca="1" si="18"/>
        <v>23025.859423933154</v>
      </c>
      <c r="N326" s="146"/>
      <c r="O326" s="147"/>
    </row>
    <row r="327" spans="2:15" x14ac:dyDescent="0.25">
      <c r="B327" s="125">
        <v>320</v>
      </c>
      <c r="C327" s="126">
        <f t="shared" ca="1" si="20"/>
        <v>1524348.9686170516</v>
      </c>
      <c r="D327" s="126">
        <f t="shared" ca="1" si="19"/>
        <v>50560.13329468108</v>
      </c>
      <c r="E327" s="126">
        <f t="shared" ca="1" si="17"/>
        <v>27935.585912414077</v>
      </c>
      <c r="F327" s="127">
        <f t="shared" ca="1" si="18"/>
        <v>22624.547382267003</v>
      </c>
      <c r="N327" s="146"/>
      <c r="O327" s="147"/>
    </row>
    <row r="328" spans="2:15" x14ac:dyDescent="0.25">
      <c r="B328" s="125">
        <v>321</v>
      </c>
      <c r="C328" s="126">
        <f t="shared" ca="1" si="20"/>
        <v>1496006.2215399642</v>
      </c>
      <c r="D328" s="126">
        <f t="shared" ca="1" si="19"/>
        <v>50560.133294681087</v>
      </c>
      <c r="E328" s="126">
        <f t="shared" ref="E328:E367" ca="1" si="21">-IFERROR(IF(OR(B328&lt;=$J$30,$J$30=0),PPMT($J$35/12,B328,$J$12*12,$J$13),PPMT(($O$5+$J$35)/12,B328-$J$30,$J$12*12-$J$30,$J$13+CUMPRINC($J$35/12,$J$12*12,$J$13,1,$J$30,0))),0)</f>
        <v>28342.747077087512</v>
      </c>
      <c r="F328" s="127">
        <f t="shared" ref="F328:F367" ca="1" si="22">-IF(AND($O$8,B328&lt;=$J$22),IF($H$22="Без процентов",0,0.5),1)*IFERROR(IF(OR(B328&lt;=$J$30,$J$30=0),IPMT($J$35/12,B328,$J$12*12,$J$13),IPMT(($O$5+$J$35)/12,B328-$J$30,$J$12*12-$J$30,$J$13+CUMPRINC($J$35/12,$J$12*12,$J$13,1,$J$30,0),0,0)),0)</f>
        <v>22217.386217593572</v>
      </c>
      <c r="N328" s="146"/>
      <c r="O328" s="147"/>
    </row>
    <row r="329" spans="2:15" x14ac:dyDescent="0.25">
      <c r="B329" s="125">
        <v>322</v>
      </c>
      <c r="C329" s="126">
        <f t="shared" ca="1" si="20"/>
        <v>1467250.3789242283</v>
      </c>
      <c r="D329" s="126">
        <f t="shared" ref="D329:D367" ca="1" si="23">E329+F329</f>
        <v>50560.133294681073</v>
      </c>
      <c r="E329" s="126">
        <f t="shared" ca="1" si="21"/>
        <v>28755.842615736059</v>
      </c>
      <c r="F329" s="127">
        <f t="shared" ca="1" si="22"/>
        <v>21804.290678945017</v>
      </c>
      <c r="N329" s="146"/>
      <c r="O329" s="147"/>
    </row>
    <row r="330" spans="2:15" x14ac:dyDescent="0.25">
      <c r="B330" s="125">
        <v>323</v>
      </c>
      <c r="C330" s="126">
        <f t="shared" ca="1" si="20"/>
        <v>1438075.4199023678</v>
      </c>
      <c r="D330" s="126">
        <f t="shared" ca="1" si="23"/>
        <v>50560.13329468108</v>
      </c>
      <c r="E330" s="126">
        <f t="shared" ca="1" si="21"/>
        <v>29174.959021860413</v>
      </c>
      <c r="F330" s="127">
        <f t="shared" ca="1" si="22"/>
        <v>21385.174272820666</v>
      </c>
      <c r="N330" s="146"/>
      <c r="O330" s="147"/>
    </row>
    <row r="331" spans="2:15" x14ac:dyDescent="0.25">
      <c r="B331" s="125">
        <v>324</v>
      </c>
      <c r="C331" s="126">
        <f t="shared" ca="1" si="20"/>
        <v>1408475.2358527638</v>
      </c>
      <c r="D331" s="126">
        <f t="shared" ca="1" si="23"/>
        <v>50560.13329468108</v>
      </c>
      <c r="E331" s="126">
        <f t="shared" ca="1" si="21"/>
        <v>29600.184049604031</v>
      </c>
      <c r="F331" s="127">
        <f t="shared" ca="1" si="22"/>
        <v>20959.949245077049</v>
      </c>
      <c r="N331" s="146"/>
      <c r="O331" s="147"/>
    </row>
    <row r="332" spans="2:15" x14ac:dyDescent="0.25">
      <c r="B332" s="125">
        <v>325</v>
      </c>
      <c r="C332" s="126">
        <f t="shared" ca="1" si="20"/>
        <v>1378443.6291206367</v>
      </c>
      <c r="D332" s="126">
        <f t="shared" ca="1" si="23"/>
        <v>50560.13329468108</v>
      </c>
      <c r="E332" s="126">
        <f t="shared" ca="1" si="21"/>
        <v>30031.606732127009</v>
      </c>
      <c r="F332" s="127">
        <f t="shared" ca="1" si="22"/>
        <v>20528.526562554071</v>
      </c>
      <c r="N332" s="146"/>
      <c r="O332" s="147"/>
    </row>
    <row r="333" spans="2:15" x14ac:dyDescent="0.25">
      <c r="B333" s="125">
        <v>326</v>
      </c>
      <c r="C333" s="126">
        <f t="shared" ca="1" si="20"/>
        <v>1347974.3117203889</v>
      </c>
      <c r="D333" s="126">
        <f t="shared" ca="1" si="23"/>
        <v>50560.133294681073</v>
      </c>
      <c r="E333" s="126">
        <f t="shared" ca="1" si="21"/>
        <v>30469.317400247757</v>
      </c>
      <c r="F333" s="127">
        <f t="shared" ca="1" si="22"/>
        <v>20090.815894433315</v>
      </c>
      <c r="N333" s="146"/>
      <c r="O333" s="147"/>
    </row>
    <row r="334" spans="2:15" x14ac:dyDescent="0.25">
      <c r="B334" s="125">
        <v>327</v>
      </c>
      <c r="C334" s="126">
        <f t="shared" ca="1" si="20"/>
        <v>1317060.9040190326</v>
      </c>
      <c r="D334" s="126">
        <f t="shared" ca="1" si="23"/>
        <v>50560.13329468108</v>
      </c>
      <c r="E334" s="126">
        <f t="shared" ca="1" si="21"/>
        <v>30913.407701356373</v>
      </c>
      <c r="F334" s="127">
        <f t="shared" ca="1" si="22"/>
        <v>19646.725593324707</v>
      </c>
      <c r="N334" s="146"/>
      <c r="O334" s="147"/>
    </row>
    <row r="335" spans="2:15" x14ac:dyDescent="0.25">
      <c r="B335" s="125">
        <v>328</v>
      </c>
      <c r="C335" s="126">
        <f t="shared" ca="1" si="20"/>
        <v>1285696.9334004289</v>
      </c>
      <c r="D335" s="126">
        <f t="shared" ca="1" si="23"/>
        <v>50560.133294681087</v>
      </c>
      <c r="E335" s="126">
        <f t="shared" ca="1" si="21"/>
        <v>31363.970618603642</v>
      </c>
      <c r="F335" s="127">
        <f t="shared" ca="1" si="22"/>
        <v>19196.162676077442</v>
      </c>
      <c r="N335" s="146"/>
      <c r="O335" s="147"/>
    </row>
    <row r="336" spans="2:15" x14ac:dyDescent="0.25">
      <c r="B336" s="125">
        <v>329</v>
      </c>
      <c r="C336" s="126">
        <f t="shared" ca="1" si="20"/>
        <v>1253875.832910059</v>
      </c>
      <c r="D336" s="126">
        <f t="shared" ca="1" si="23"/>
        <v>50560.133294681087</v>
      </c>
      <c r="E336" s="126">
        <f t="shared" ca="1" si="21"/>
        <v>31821.10049036979</v>
      </c>
      <c r="F336" s="127">
        <f t="shared" ca="1" si="22"/>
        <v>18739.032804311293</v>
      </c>
      <c r="N336" s="146"/>
      <c r="O336" s="147"/>
    </row>
    <row r="337" spans="2:15" x14ac:dyDescent="0.25">
      <c r="B337" s="125">
        <v>330</v>
      </c>
      <c r="C337" s="126">
        <f t="shared" ca="1" si="20"/>
        <v>1221590.9398800421</v>
      </c>
      <c r="D337" s="126">
        <f t="shared" ca="1" si="23"/>
        <v>50560.13329468108</v>
      </c>
      <c r="E337" s="126">
        <f t="shared" ca="1" si="21"/>
        <v>32284.89303001693</v>
      </c>
      <c r="F337" s="127">
        <f t="shared" ca="1" si="22"/>
        <v>18275.240264664149</v>
      </c>
      <c r="N337" s="146"/>
      <c r="O337" s="147"/>
    </row>
    <row r="338" spans="2:15" x14ac:dyDescent="0.25">
      <c r="B338" s="125">
        <v>331</v>
      </c>
      <c r="C338" s="126">
        <f t="shared" ca="1" si="20"/>
        <v>1188835.4945341127</v>
      </c>
      <c r="D338" s="126">
        <f t="shared" ca="1" si="23"/>
        <v>50560.13329468108</v>
      </c>
      <c r="E338" s="126">
        <f t="shared" ca="1" si="21"/>
        <v>32755.445345929424</v>
      </c>
      <c r="F338" s="127">
        <f t="shared" ca="1" si="22"/>
        <v>17804.687948751656</v>
      </c>
      <c r="N338" s="146"/>
      <c r="O338" s="147"/>
    </row>
    <row r="339" spans="2:15" x14ac:dyDescent="0.25">
      <c r="B339" s="125">
        <v>332</v>
      </c>
      <c r="C339" s="126">
        <f t="shared" ca="1" si="20"/>
        <v>1155602.6385722663</v>
      </c>
      <c r="D339" s="126">
        <f t="shared" ca="1" si="23"/>
        <v>50560.13329468108</v>
      </c>
      <c r="E339" s="126">
        <f t="shared" ca="1" si="21"/>
        <v>33232.855961846348</v>
      </c>
      <c r="F339" s="127">
        <f t="shared" ca="1" si="22"/>
        <v>17327.277332834732</v>
      </c>
      <c r="N339" s="146"/>
      <c r="O339" s="147"/>
    </row>
    <row r="340" spans="2:15" x14ac:dyDescent="0.25">
      <c r="B340" s="125">
        <v>333</v>
      </c>
      <c r="C340" s="126">
        <f t="shared" ca="1" si="20"/>
        <v>1121885.413734776</v>
      </c>
      <c r="D340" s="126">
        <f t="shared" ca="1" si="23"/>
        <v>50560.13329468108</v>
      </c>
      <c r="E340" s="126">
        <f t="shared" ca="1" si="21"/>
        <v>33717.224837490256</v>
      </c>
      <c r="F340" s="127">
        <f t="shared" ca="1" si="22"/>
        <v>16842.908457190824</v>
      </c>
      <c r="N340" s="146"/>
      <c r="O340" s="147"/>
    </row>
    <row r="341" spans="2:15" x14ac:dyDescent="0.25">
      <c r="B341" s="125">
        <v>334</v>
      </c>
      <c r="C341" s="126">
        <f t="shared" ref="C341:C367" ca="1" si="24">C340-E341</f>
        <v>1087676.7603452792</v>
      </c>
      <c r="D341" s="126">
        <f t="shared" ca="1" si="23"/>
        <v>50560.13329468108</v>
      </c>
      <c r="E341" s="126">
        <f t="shared" ca="1" si="21"/>
        <v>34208.653389496678</v>
      </c>
      <c r="F341" s="127">
        <f t="shared" ca="1" si="22"/>
        <v>16351.479905184404</v>
      </c>
      <c r="N341" s="146"/>
      <c r="O341" s="147"/>
    </row>
    <row r="342" spans="2:15" x14ac:dyDescent="0.25">
      <c r="B342" s="125">
        <v>335</v>
      </c>
      <c r="C342" s="126">
        <f t="shared" ca="1" si="24"/>
        <v>1052969.5158326307</v>
      </c>
      <c r="D342" s="126">
        <f t="shared" ca="1" si="23"/>
        <v>50560.13329468108</v>
      </c>
      <c r="E342" s="126">
        <f t="shared" ca="1" si="21"/>
        <v>34707.244512648591</v>
      </c>
      <c r="F342" s="127">
        <f t="shared" ca="1" si="22"/>
        <v>15852.888782032489</v>
      </c>
      <c r="N342" s="146"/>
      <c r="O342" s="147"/>
    </row>
    <row r="343" spans="2:15" x14ac:dyDescent="0.25">
      <c r="B343" s="125">
        <v>336</v>
      </c>
      <c r="C343" s="126">
        <f t="shared" ca="1" si="24"/>
        <v>1017756.4132312102</v>
      </c>
      <c r="D343" s="126">
        <f t="shared" ca="1" si="23"/>
        <v>50560.133294681087</v>
      </c>
      <c r="E343" s="126">
        <f t="shared" ca="1" si="21"/>
        <v>35213.102601420447</v>
      </c>
      <c r="F343" s="127">
        <f t="shared" ca="1" si="22"/>
        <v>15347.030693260636</v>
      </c>
      <c r="N343" s="146"/>
      <c r="O343" s="147"/>
    </row>
    <row r="344" spans="2:15" x14ac:dyDescent="0.25">
      <c r="B344" s="125">
        <v>337</v>
      </c>
      <c r="C344" s="126">
        <f t="shared" ca="1" si="24"/>
        <v>982030.07965937408</v>
      </c>
      <c r="D344" s="126">
        <f t="shared" ca="1" si="23"/>
        <v>50560.13329468108</v>
      </c>
      <c r="E344" s="126">
        <f t="shared" ca="1" si="21"/>
        <v>35726.333571836149</v>
      </c>
      <c r="F344" s="127">
        <f t="shared" ca="1" si="22"/>
        <v>14833.799722844933</v>
      </c>
      <c r="N344" s="146"/>
      <c r="O344" s="147"/>
    </row>
    <row r="345" spans="2:15" x14ac:dyDescent="0.25">
      <c r="B345" s="125">
        <v>338</v>
      </c>
      <c r="C345" s="126">
        <f t="shared" ca="1" si="24"/>
        <v>945783.03477572848</v>
      </c>
      <c r="D345" s="126">
        <f t="shared" ca="1" si="23"/>
        <v>50560.13329468108</v>
      </c>
      <c r="E345" s="126">
        <f t="shared" ca="1" si="21"/>
        <v>36247.044883645656</v>
      </c>
      <c r="F345" s="127">
        <f t="shared" ca="1" si="22"/>
        <v>14313.088411035422</v>
      </c>
      <c r="N345" s="146"/>
      <c r="O345" s="147"/>
    </row>
    <row r="346" spans="2:15" x14ac:dyDescent="0.25">
      <c r="B346" s="125">
        <v>339</v>
      </c>
      <c r="C346" s="126">
        <f t="shared" ca="1" si="24"/>
        <v>909007.68921290373</v>
      </c>
      <c r="D346" s="126">
        <f t="shared" ca="1" si="23"/>
        <v>50560.133294681087</v>
      </c>
      <c r="E346" s="126">
        <f t="shared" ca="1" si="21"/>
        <v>36775.345562824798</v>
      </c>
      <c r="F346" s="127">
        <f t="shared" ca="1" si="22"/>
        <v>13784.787731856286</v>
      </c>
      <c r="N346" s="146"/>
      <c r="O346" s="147"/>
    </row>
    <row r="347" spans="2:15" x14ac:dyDescent="0.25">
      <c r="B347" s="125">
        <v>340</v>
      </c>
      <c r="C347" s="126">
        <f t="shared" ca="1" si="24"/>
        <v>871696.34298850072</v>
      </c>
      <c r="D347" s="126">
        <f t="shared" ca="1" si="23"/>
        <v>50560.13329468108</v>
      </c>
      <c r="E347" s="126">
        <f t="shared" ca="1" si="21"/>
        <v>37311.346224402965</v>
      </c>
      <c r="F347" s="127">
        <f t="shared" ca="1" si="22"/>
        <v>13248.787070278113</v>
      </c>
      <c r="N347" s="146"/>
      <c r="O347" s="147"/>
    </row>
    <row r="348" spans="2:15" x14ac:dyDescent="0.25">
      <c r="B348" s="125">
        <v>341</v>
      </c>
      <c r="C348" s="126">
        <f t="shared" ca="1" si="24"/>
        <v>833841.18389287707</v>
      </c>
      <c r="D348" s="126">
        <f t="shared" ca="1" si="23"/>
        <v>50560.13329468108</v>
      </c>
      <c r="E348" s="126">
        <f t="shared" ca="1" si="21"/>
        <v>37855.15909562364</v>
      </c>
      <c r="F348" s="127">
        <f t="shared" ca="1" si="22"/>
        <v>12704.974199057442</v>
      </c>
      <c r="N348" s="146"/>
      <c r="O348" s="147"/>
    </row>
    <row r="349" spans="2:15" x14ac:dyDescent="0.25">
      <c r="B349" s="125">
        <v>342</v>
      </c>
      <c r="C349" s="126">
        <f t="shared" ca="1" si="24"/>
        <v>795434.2858534347</v>
      </c>
      <c r="D349" s="126">
        <f t="shared" ca="1" si="23"/>
        <v>50560.133294681087</v>
      </c>
      <c r="E349" s="126">
        <f t="shared" ca="1" si="21"/>
        <v>38406.898039442356</v>
      </c>
      <c r="F349" s="127">
        <f t="shared" ca="1" si="22"/>
        <v>12153.235255238729</v>
      </c>
      <c r="N349" s="146"/>
      <c r="O349" s="147"/>
    </row>
    <row r="350" spans="2:15" x14ac:dyDescent="0.25">
      <c r="B350" s="125">
        <v>343</v>
      </c>
      <c r="C350" s="126">
        <f t="shared" ca="1" si="24"/>
        <v>756467.60727506748</v>
      </c>
      <c r="D350" s="126">
        <f t="shared" ca="1" si="23"/>
        <v>50560.13329468108</v>
      </c>
      <c r="E350" s="126">
        <f t="shared" ca="1" si="21"/>
        <v>38966.678578367224</v>
      </c>
      <c r="F350" s="127">
        <f t="shared" ca="1" si="22"/>
        <v>11593.454716313854</v>
      </c>
      <c r="N350" s="146"/>
      <c r="O350" s="147"/>
    </row>
    <row r="351" spans="2:15" x14ac:dyDescent="0.25">
      <c r="B351" s="125">
        <v>344</v>
      </c>
      <c r="C351" s="126">
        <f t="shared" ca="1" si="24"/>
        <v>716932.98935642058</v>
      </c>
      <c r="D351" s="126">
        <f t="shared" ca="1" si="23"/>
        <v>50560.133294681087</v>
      </c>
      <c r="E351" s="126">
        <f t="shared" ca="1" si="21"/>
        <v>39534.617918646931</v>
      </c>
      <c r="F351" s="127">
        <f t="shared" ca="1" si="22"/>
        <v>11025.515376034153</v>
      </c>
      <c r="N351" s="146"/>
      <c r="O351" s="147"/>
    </row>
    <row r="352" spans="2:15" x14ac:dyDescent="0.25">
      <c r="B352" s="125">
        <v>345</v>
      </c>
      <c r="C352" s="126">
        <f t="shared" ca="1" si="24"/>
        <v>676822.15438160941</v>
      </c>
      <c r="D352" s="126">
        <f t="shared" ca="1" si="23"/>
        <v>50560.13329468108</v>
      </c>
      <c r="E352" s="126">
        <f t="shared" ca="1" si="21"/>
        <v>40110.834974811209</v>
      </c>
      <c r="F352" s="127">
        <f t="shared" ca="1" si="22"/>
        <v>10449.298319869871</v>
      </c>
      <c r="N352" s="146"/>
      <c r="O352" s="147"/>
    </row>
    <row r="353" spans="2:15" x14ac:dyDescent="0.25">
      <c r="B353" s="125">
        <v>346</v>
      </c>
      <c r="C353" s="126">
        <f t="shared" ca="1" si="24"/>
        <v>636126.70398704032</v>
      </c>
      <c r="D353" s="126">
        <f t="shared" ca="1" si="23"/>
        <v>50560.13329468108</v>
      </c>
      <c r="E353" s="126">
        <f t="shared" ca="1" si="21"/>
        <v>40695.450394569081</v>
      </c>
      <c r="F353" s="127">
        <f t="shared" ca="1" si="22"/>
        <v>9864.6829001119986</v>
      </c>
      <c r="N353" s="146"/>
      <c r="O353" s="147"/>
    </row>
    <row r="354" spans="2:15" x14ac:dyDescent="0.25">
      <c r="B354" s="125">
        <v>347</v>
      </c>
      <c r="C354" s="126">
        <f t="shared" ca="1" si="24"/>
        <v>594838.11740297044</v>
      </c>
      <c r="D354" s="126">
        <f t="shared" ca="1" si="23"/>
        <v>50560.13329468108</v>
      </c>
      <c r="E354" s="126">
        <f t="shared" ca="1" si="21"/>
        <v>41288.586584069926</v>
      </c>
      <c r="F354" s="127">
        <f t="shared" ca="1" si="22"/>
        <v>9271.5467106111555</v>
      </c>
      <c r="N354" s="146"/>
      <c r="O354" s="147"/>
    </row>
    <row r="355" spans="2:15" x14ac:dyDescent="0.25">
      <c r="B355" s="125">
        <v>348</v>
      </c>
      <c r="C355" s="126">
        <f t="shared" ca="1" si="24"/>
        <v>552947.74966943765</v>
      </c>
      <c r="D355" s="126">
        <f t="shared" ca="1" si="23"/>
        <v>50560.13329468108</v>
      </c>
      <c r="E355" s="126">
        <f t="shared" ca="1" si="21"/>
        <v>41890.367733532745</v>
      </c>
      <c r="F355" s="127">
        <f t="shared" ca="1" si="22"/>
        <v>8669.7655611483369</v>
      </c>
      <c r="N355" s="146"/>
      <c r="O355" s="147"/>
    </row>
    <row r="356" spans="2:15" x14ac:dyDescent="0.25">
      <c r="B356" s="125">
        <v>349</v>
      </c>
      <c r="C356" s="126">
        <f t="shared" ca="1" si="24"/>
        <v>510446.82982618868</v>
      </c>
      <c r="D356" s="126">
        <f t="shared" ca="1" si="23"/>
        <v>50560.133294681087</v>
      </c>
      <c r="E356" s="126">
        <f t="shared" ca="1" si="21"/>
        <v>42500.919843248987</v>
      </c>
      <c r="F356" s="127">
        <f t="shared" ca="1" si="22"/>
        <v>8059.2134514320978</v>
      </c>
      <c r="N356" s="146"/>
      <c r="O356" s="147"/>
    </row>
    <row r="357" spans="2:15" x14ac:dyDescent="0.25">
      <c r="B357" s="125">
        <v>350</v>
      </c>
      <c r="C357" s="126">
        <f t="shared" ca="1" si="24"/>
        <v>467326.45907622436</v>
      </c>
      <c r="D357" s="126">
        <f t="shared" ca="1" si="23"/>
        <v>50560.133294681087</v>
      </c>
      <c r="E357" s="126">
        <f t="shared" ca="1" si="21"/>
        <v>43120.370749964342</v>
      </c>
      <c r="F357" s="127">
        <f t="shared" ca="1" si="22"/>
        <v>7439.7625447167429</v>
      </c>
      <c r="N357" s="146"/>
      <c r="O357" s="147"/>
    </row>
    <row r="358" spans="2:15" x14ac:dyDescent="0.25">
      <c r="B358" s="125">
        <v>351</v>
      </c>
      <c r="C358" s="126">
        <f t="shared" ca="1" si="24"/>
        <v>423577.60892257927</v>
      </c>
      <c r="D358" s="126">
        <f t="shared" ca="1" si="23"/>
        <v>50560.133294681087</v>
      </c>
      <c r="E358" s="126">
        <f t="shared" ca="1" si="21"/>
        <v>43748.850153645071</v>
      </c>
      <c r="F358" s="127">
        <f t="shared" ca="1" si="22"/>
        <v>6811.2831410360122</v>
      </c>
      <c r="N358" s="146"/>
      <c r="O358" s="147"/>
    </row>
    <row r="359" spans="2:15" x14ac:dyDescent="0.25">
      <c r="B359" s="125">
        <v>352</v>
      </c>
      <c r="C359" s="126">
        <f t="shared" ca="1" si="24"/>
        <v>379191.11927794485</v>
      </c>
      <c r="D359" s="126">
        <f t="shared" ca="1" si="23"/>
        <v>50560.13329468108</v>
      </c>
      <c r="E359" s="126">
        <f t="shared" ca="1" si="21"/>
        <v>44386.489644634443</v>
      </c>
      <c r="F359" s="127">
        <f t="shared" ca="1" si="22"/>
        <v>6173.6436500466361</v>
      </c>
      <c r="N359" s="146"/>
      <c r="O359" s="147"/>
    </row>
    <row r="360" spans="2:15" x14ac:dyDescent="0.25">
      <c r="B360" s="125">
        <v>353</v>
      </c>
      <c r="C360" s="126">
        <f t="shared" ca="1" si="24"/>
        <v>334157.69654673984</v>
      </c>
      <c r="D360" s="126">
        <f t="shared" ca="1" si="23"/>
        <v>50560.133294681087</v>
      </c>
      <c r="E360" s="126">
        <f t="shared" ca="1" si="21"/>
        <v>45033.422731204999</v>
      </c>
      <c r="F360" s="127">
        <f t="shared" ca="1" si="22"/>
        <v>5526.7105634760883</v>
      </c>
      <c r="N360" s="146"/>
      <c r="O360" s="147"/>
    </row>
    <row r="361" spans="2:15" x14ac:dyDescent="0.25">
      <c r="B361" s="125">
        <v>354</v>
      </c>
      <c r="C361" s="126">
        <f t="shared" ca="1" si="24"/>
        <v>288467.91167922755</v>
      </c>
      <c r="D361" s="126">
        <f t="shared" ca="1" si="23"/>
        <v>50560.13329468108</v>
      </c>
      <c r="E361" s="126">
        <f t="shared" ca="1" si="21"/>
        <v>45689.784867512302</v>
      </c>
      <c r="F361" s="127">
        <f t="shared" ca="1" si="22"/>
        <v>4870.3484271687757</v>
      </c>
      <c r="N361" s="146"/>
      <c r="O361" s="147"/>
    </row>
    <row r="362" spans="2:15" x14ac:dyDescent="0.25">
      <c r="B362" s="125">
        <v>355</v>
      </c>
      <c r="C362" s="126">
        <f t="shared" ca="1" si="24"/>
        <v>242112.19819727127</v>
      </c>
      <c r="D362" s="126">
        <f t="shared" ca="1" si="23"/>
        <v>50560.133294681073</v>
      </c>
      <c r="E362" s="126">
        <f t="shared" ca="1" si="21"/>
        <v>46355.713481956293</v>
      </c>
      <c r="F362" s="127">
        <f t="shared" ca="1" si="22"/>
        <v>4204.4198127247837</v>
      </c>
      <c r="N362" s="146"/>
      <c r="O362" s="147"/>
    </row>
    <row r="363" spans="2:15" x14ac:dyDescent="0.25">
      <c r="B363" s="125">
        <v>356</v>
      </c>
      <c r="C363" s="126">
        <f t="shared" ca="1" si="24"/>
        <v>195080.85019131546</v>
      </c>
      <c r="D363" s="126">
        <f t="shared" ca="1" si="23"/>
        <v>50560.13329468108</v>
      </c>
      <c r="E363" s="126">
        <f t="shared" ca="1" si="21"/>
        <v>47031.348005955806</v>
      </c>
      <c r="F363" s="127">
        <f t="shared" ca="1" si="22"/>
        <v>3528.7852887252707</v>
      </c>
      <c r="N363" s="146"/>
      <c r="O363" s="147"/>
    </row>
    <row r="364" spans="2:15" x14ac:dyDescent="0.25">
      <c r="B364" s="125">
        <v>357</v>
      </c>
      <c r="C364" s="126">
        <f t="shared" ca="1" si="24"/>
        <v>147364.02028817285</v>
      </c>
      <c r="D364" s="126">
        <f t="shared" ca="1" si="23"/>
        <v>50560.13329468108</v>
      </c>
      <c r="E364" s="126">
        <f t="shared" ca="1" si="21"/>
        <v>47716.829903142614</v>
      </c>
      <c r="F364" s="127">
        <f t="shared" ca="1" si="22"/>
        <v>2843.3033915384653</v>
      </c>
      <c r="N364" s="146"/>
      <c r="O364" s="147"/>
    </row>
    <row r="365" spans="2:15" x14ac:dyDescent="0.25">
      <c r="B365" s="125">
        <v>358</v>
      </c>
      <c r="C365" s="126">
        <f t="shared" ca="1" si="24"/>
        <v>98951.717589191932</v>
      </c>
      <c r="D365" s="126">
        <f t="shared" ca="1" si="23"/>
        <v>50560.133294681073</v>
      </c>
      <c r="E365" s="126">
        <f t="shared" ca="1" si="21"/>
        <v>48412.302698980915</v>
      </c>
      <c r="F365" s="127">
        <f t="shared" ca="1" si="22"/>
        <v>2147.8305957001612</v>
      </c>
      <c r="N365" s="146"/>
      <c r="O365" s="147"/>
    </row>
    <row r="366" spans="2:15" x14ac:dyDescent="0.25">
      <c r="B366" s="125">
        <v>359</v>
      </c>
      <c r="C366" s="126">
        <f t="shared" ca="1" si="24"/>
        <v>49833.805578373365</v>
      </c>
      <c r="D366" s="126">
        <f t="shared" ca="1" si="23"/>
        <v>50560.13329468108</v>
      </c>
      <c r="E366" s="126">
        <f t="shared" ca="1" si="21"/>
        <v>49117.912010818567</v>
      </c>
      <c r="F366" s="127">
        <f t="shared" ca="1" si="22"/>
        <v>1442.2212838625146</v>
      </c>
      <c r="N366" s="146"/>
      <c r="O366" s="147"/>
    </row>
    <row r="367" spans="2:15" x14ac:dyDescent="0.25">
      <c r="B367" s="125">
        <v>360</v>
      </c>
      <c r="C367" s="126">
        <f t="shared" ca="1" si="24"/>
        <v>-2.8812792152166367E-9</v>
      </c>
      <c r="D367" s="126">
        <f t="shared" ca="1" si="23"/>
        <v>50560.13329468108</v>
      </c>
      <c r="E367" s="126">
        <f t="shared" ca="1" si="21"/>
        <v>49833.805578376247</v>
      </c>
      <c r="F367" s="127">
        <f t="shared" ca="1" si="22"/>
        <v>726.32771630483376</v>
      </c>
      <c r="N367" s="146"/>
      <c r="O367" s="147"/>
    </row>
    <row r="368" spans="2:15" x14ac:dyDescent="0.25">
      <c r="F368" s="128"/>
    </row>
  </sheetData>
  <sheetProtection algorithmName="SHA-512" hashValue="z9laprnwMzp2PCbMSbVQic8smokKO974VVnzydmLQRRoww/7i1vaVU+7M1iWM+cS3QPr1XOaM7k0m2Y3+Xv6/Q==" saltValue="mfZR8gN5qw+132+M5Um8hg==" spinCount="100000" sheet="1" objects="1" scenarios="1"/>
  <protectedRanges>
    <protectedRange sqref="H22 J7:J12 J16 J24:J25 O24:O26 J21:J22 J29:J32" name="Диапазон1"/>
  </protectedRanges>
  <mergeCells count="2">
    <mergeCell ref="H6:J6"/>
    <mergeCell ref="B2:D2"/>
  </mergeCells>
  <conditionalFormatting sqref="J13">
    <cfRule type="expression" dxfId="27" priority="95">
      <formula>"ЕСЛИ(И($D$7=""Новостройка с господдержкой 2020"";$D$9&gt;3000000);ИСТИНА)"</formula>
    </cfRule>
  </conditionalFormatting>
  <conditionalFormatting sqref="J14">
    <cfRule type="expression" dxfId="26" priority="60">
      <formula>ISTEXT($J$14)</formula>
    </cfRule>
  </conditionalFormatting>
  <conditionalFormatting sqref="J16">
    <cfRule type="expression" dxfId="25" priority="119">
      <formula>OR(J13="Новостройка с господдержкой 2020",J13="Семейная ипотека")</formula>
    </cfRule>
  </conditionalFormatting>
  <conditionalFormatting sqref="H23:J23">
    <cfRule type="expression" dxfId="24" priority="23">
      <formula>NOT($J$23)</formula>
    </cfRule>
  </conditionalFormatting>
  <conditionalFormatting sqref="H24:J28">
    <cfRule type="expression" dxfId="23" priority="22">
      <formula>NOT($J$23)</formula>
    </cfRule>
  </conditionalFormatting>
  <conditionalFormatting sqref="H21:J21">
    <cfRule type="expression" dxfId="22" priority="260">
      <formula>$O$7=TRUE</formula>
    </cfRule>
  </conditionalFormatting>
  <conditionalFormatting sqref="H17:J17">
    <cfRule type="expression" dxfId="21" priority="266">
      <formula>$O$7</formula>
    </cfRule>
  </conditionalFormatting>
  <conditionalFormatting sqref="K11">
    <cfRule type="expression" dxfId="20" priority="17">
      <formula>$E$6&lt;&gt;""</formula>
    </cfRule>
  </conditionalFormatting>
  <conditionalFormatting sqref="K10">
    <cfRule type="expression" dxfId="19" priority="16">
      <formula>$E$6&lt;&gt;""</formula>
    </cfRule>
  </conditionalFormatting>
  <conditionalFormatting sqref="H28:J28">
    <cfRule type="expression" dxfId="18" priority="4">
      <formula>H23</formula>
    </cfRule>
    <cfRule type="expression" dxfId="17" priority="13">
      <formula>AND(NOT($J$23),$O$8)</formula>
    </cfRule>
  </conditionalFormatting>
  <conditionalFormatting sqref="H30:J39">
    <cfRule type="expression" dxfId="16" priority="7">
      <formula>NOT($J$29)</formula>
    </cfRule>
  </conditionalFormatting>
  <conditionalFormatting sqref="H34:J34">
    <cfRule type="expression" dxfId="15" priority="8">
      <formula>$J$30&lt;&gt;"полный срок"</formula>
    </cfRule>
  </conditionalFormatting>
  <conditionalFormatting sqref="H33:J33">
    <cfRule type="expression" dxfId="14" priority="9">
      <formula>NOT($J$30&lt;&gt;"полный срок")</formula>
    </cfRule>
  </conditionalFormatting>
  <conditionalFormatting sqref="H29:J29">
    <cfRule type="expression" dxfId="13" priority="3">
      <formula>J23</formula>
    </cfRule>
    <cfRule type="expression" dxfId="12" priority="5">
      <formula>$O$8</formula>
    </cfRule>
  </conditionalFormatting>
  <conditionalFormatting sqref="H29:J39">
    <cfRule type="expression" dxfId="11" priority="6">
      <formula>NOT($O$8)</formula>
    </cfRule>
  </conditionalFormatting>
  <conditionalFormatting sqref="I29">
    <cfRule type="expression" dxfId="10" priority="2">
      <formula>J23</formula>
    </cfRule>
  </conditionalFormatting>
  <conditionalFormatting sqref="J38 J35 J32">
    <cfRule type="expression" dxfId="9" priority="1">
      <formula>$J$38="Выберите подходящие параметры"</formula>
    </cfRule>
  </conditionalFormatting>
  <conditionalFormatting sqref="B22:E22">
    <cfRule type="expression" dxfId="8" priority="269">
      <formula>IF(#REF!&gt;#REF!,TRUE,FALSE)</formula>
    </cfRule>
  </conditionalFormatting>
  <conditionalFormatting sqref="B24:E24">
    <cfRule type="expression" dxfId="7" priority="270">
      <formula>IF(#REF!&gt;#REF!,TRUE,FALSE)</formula>
    </cfRule>
  </conditionalFormatting>
  <conditionalFormatting sqref="B21:E21">
    <cfRule type="expression" dxfId="6" priority="271">
      <formula>IF(#REF!&gt;#REF!,TRUE,FALSE)</formula>
    </cfRule>
  </conditionalFormatting>
  <conditionalFormatting sqref="B7:F7">
    <cfRule type="expression" dxfId="5" priority="272">
      <formula>IF($O22&gt;#REF!,TRUE,FALSE)</formula>
    </cfRule>
  </conditionalFormatting>
  <dataValidations count="7">
    <dataValidation type="list" allowBlank="1" showInputMessage="1" showErrorMessage="1" sqref="J31">
      <formula1>"без отсрочки,6,12,18,24"</formula1>
    </dataValidation>
    <dataValidation type="list" allowBlank="1" showInputMessage="1" showErrorMessage="1" sqref="J12">
      <formula1>"3,4,5,6,7,8,9,10,11,12,13,14,15,16,17,18,19,20,21,22,23,24,25,26,27,28,29,30"</formula1>
    </dataValidation>
    <dataValidation type="list" allowBlank="1" showInputMessage="1" showErrorMessage="1" sqref="I37">
      <formula1>"с сохранением ПВ в руб, с сохранением ПВ в %"</formula1>
    </dataValidation>
    <dataValidation type="list" allowBlank="1" showInputMessage="1" showErrorMessage="1" sqref="J22">
      <formula1>"0,12,24,36,48,60"</formula1>
    </dataValidation>
    <dataValidation type="list" allowBlank="1" showInputMessage="1" showErrorMessage="1" sqref="H22">
      <formula1>"Без процентов,Половина процентов"</formula1>
    </dataValidation>
    <dataValidation type="list" allowBlank="1" showInputMessage="1" showErrorMessage="1" sqref="J30">
      <formula1>"полный срок,6,12,24,36,48,60"</formula1>
    </dataValidation>
    <dataValidation type="custom" allowBlank="1" showInputMessage="1" showErrorMessage="1" error="Превышен максимальный LTV по программе" sqref="J13">
      <formula1>IF(AND(J7="Новостройка",OR(J8="Квартира",J8="Апартаменты")),IF(J10/J9&lt;0.1,FALSE,TRUE),IF(J10/J9&lt;0.2,FALSE,TRUE))</formula1>
    </dataValidation>
  </dataValidations>
  <pageMargins left="0.25" right="0.25" top="0.75" bottom="0.75" header="0.3" footer="0.3"/>
  <pageSetup paperSize="9" scale="3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67" r:id="rId4" name="Check Box 743">
              <controlPr defaultSize="0" autoFill="0" autoLine="0" autoPict="0">
                <anchor moveWithCells="1">
                  <from>
                    <xdr:col>9</xdr:col>
                    <xdr:colOff>1285875</xdr:colOff>
                    <xdr:row>24</xdr:row>
                    <xdr:rowOff>0</xdr:rowOff>
                  </from>
                  <to>
                    <xdr:col>9</xdr:col>
                    <xdr:colOff>1819275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5" name="Check Box 745">
              <controlPr locked="0" defaultSize="0" autoFill="0" autoLine="0" autoPict="0" altText="_x000a_">
                <anchor moveWithCells="1">
                  <from>
                    <xdr:col>9</xdr:col>
                    <xdr:colOff>1285875</xdr:colOff>
                    <xdr:row>20</xdr:row>
                    <xdr:rowOff>0</xdr:rowOff>
                  </from>
                  <to>
                    <xdr:col>9</xdr:col>
                    <xdr:colOff>1819275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6" name="Check Box 763">
              <controlPr defaultSize="0" autoFill="0" autoLine="0" autoPict="0">
                <anchor moveWithCells="1">
                  <from>
                    <xdr:col>9</xdr:col>
                    <xdr:colOff>1285875</xdr:colOff>
                    <xdr:row>28</xdr:row>
                    <xdr:rowOff>19050</xdr:rowOff>
                  </from>
                  <to>
                    <xdr:col>9</xdr:col>
                    <xdr:colOff>1819275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" name="Check Box 770">
              <controlPr defaultSize="0" autoFill="0" autoLine="0" autoPict="0">
                <anchor moveWithCells="1">
                  <from>
                    <xdr:col>9</xdr:col>
                    <xdr:colOff>1285875</xdr:colOff>
                    <xdr:row>22</xdr:row>
                    <xdr:rowOff>9525</xdr:rowOff>
                  </from>
                  <to>
                    <xdr:col>9</xdr:col>
                    <xdr:colOff>1819275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тарифы!$U$2:$U$10</xm:f>
          </x14:formula1>
          <xm:sqref>J7</xm:sqref>
        </x14:dataValidation>
        <x14:dataValidation type="list" allowBlank="1" showInputMessage="1" showErrorMessage="1">
          <x14:formula1>
            <xm:f>OFFSET(тарифы!$AB$1,MATCH($J$7,тарифы!$AB$2:$AB$151,0),1,COUNTIF(тарифы!$AB$2:$AB$151,$J$7),1)</xm:f>
          </x14:formula1>
          <xm:sqref>J24</xm:sqref>
        </x14:dataValidation>
        <x14:dataValidation type="list" allowBlank="1" showInputMessage="1" showErrorMessage="1">
          <x14:formula1>
            <xm:f>OFFSET(тарифы!$R$1,MATCH($J$7,тарифы!$R$2:$R$26,0),1,COUNTIF(тарифы!$R$2:$R$26,$J$7),1)</xm:f>
          </x14:formula1>
          <xm:sqref>J8</xm:sqref>
        </x14:dataValidation>
        <x14:dataValidation type="list" allowBlank="1" showInputMessage="1" showErrorMessage="1">
          <x14:formula1>
            <xm:f>тарифы!$AU$2:$AU$3</xm:f>
          </x14:formula1>
          <xm:sqref>J17</xm:sqref>
        </x14:dataValidation>
        <x14:dataValidation type="list" allowBlank="1">
          <x14:formula1>
            <xm:f>OFFSET(IF(O6,IF(($J$10/$J$9)&gt;=0.2,данные!$A$7,данные!$A$13),данные!$A$22),IF(O6,$O$12,O16-1+O17-1+O18),IF(O6,4+$O$14,4),1,IF(O6,$O$15,$O$19))</xm:f>
          </x14:formula1>
          <xm:sqref>J32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Y33"/>
  <sheetViews>
    <sheetView showGridLines="0" tabSelected="1" zoomScaleNormal="100" workbookViewId="0">
      <selection activeCell="C31" sqref="C31"/>
    </sheetView>
  </sheetViews>
  <sheetFormatPr defaultRowHeight="11.25" x14ac:dyDescent="0.15"/>
  <cols>
    <col min="1" max="1" width="9.140625" style="13" customWidth="1"/>
    <col min="2" max="2" width="48.42578125" style="1" customWidth="1"/>
    <col min="3" max="3" width="20.85546875" style="1" customWidth="1"/>
    <col min="4" max="4" width="18" style="119" customWidth="1"/>
    <col min="5" max="5" width="19.42578125" style="119" customWidth="1"/>
    <col min="6" max="6" width="17.42578125" style="119" customWidth="1"/>
    <col min="7" max="7" width="22.42578125" style="119" customWidth="1"/>
    <col min="8" max="8" width="27.42578125" style="119" customWidth="1"/>
    <col min="9" max="9" width="9.42578125" style="119" bestFit="1" customWidth="1"/>
    <col min="10" max="10" width="9" style="119"/>
    <col min="11" max="16384" width="9.140625" style="1"/>
  </cols>
  <sheetData>
    <row r="1" spans="1:25" ht="9.9499999999999993" customHeight="1" x14ac:dyDescent="0.15"/>
    <row r="2" spans="1:25" ht="15" customHeight="1" x14ac:dyDescent="0.15">
      <c r="B2" s="163" t="s">
        <v>107</v>
      </c>
      <c r="C2" s="163"/>
      <c r="D2" s="163"/>
    </row>
    <row r="3" spans="1:25" ht="9.9499999999999993" customHeight="1" x14ac:dyDescent="0.15">
      <c r="D3" s="1"/>
    </row>
    <row r="4" spans="1:25" ht="15" customHeight="1" x14ac:dyDescent="0.15">
      <c r="B4" s="187" t="s">
        <v>25</v>
      </c>
      <c r="C4" s="227" t="s">
        <v>5</v>
      </c>
      <c r="D4" s="227"/>
      <c r="E4" s="13"/>
      <c r="F4" s="13"/>
      <c r="G4" s="13"/>
      <c r="H4" s="153" t="s">
        <v>69</v>
      </c>
      <c r="I4" s="154" t="b">
        <f>OR(C4="Новостройка с господдержкой 2020",C4="Семейная ипотека",C4="Семейная ипотека ДФО",C4="Ипотека для IT-специалистов",C4="Дальневосточная ипотека",C4="Рефинансирование по Семейной ипотеке")</f>
        <v>0</v>
      </c>
      <c r="J4" s="13"/>
      <c r="K4" s="13"/>
      <c r="L4" s="130"/>
      <c r="M4" s="130"/>
      <c r="N4" s="130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15" customHeight="1" x14ac:dyDescent="0.15">
      <c r="B5" s="188" t="s">
        <v>9</v>
      </c>
      <c r="C5" s="228" t="s">
        <v>14</v>
      </c>
      <c r="D5" s="228"/>
      <c r="E5" s="140"/>
      <c r="F5" s="140" t="str">
        <f ca="1">IF(ISERROR(INDEX(тарифы!$A$2:$P$1502,A11+A12+MATCH(A15,OFFSET(тарифы!$A$1,A11+A12-1,3,A14,1),-1)-2,6)+IF($C$7,0,INDEX(тарифы!$A$2:$P$1502,A11+A12+MATCH(A15,OFFSET(тарифы!$A$1,A11+A12-1,3,A14,1),-1)-2,7))+IF($C$9,INDEX(тарифы!$A$2:$P$1502,A11+A12+MATCH(A15,OFFSET(тарифы!$A$1,A11+A12-1,3,A14,1),-1)-2,8),0)),"выберите корректный тип залога","")</f>
        <v/>
      </c>
      <c r="G5" s="13"/>
      <c r="H5" s="13"/>
      <c r="I5" s="13"/>
      <c r="J5" s="13"/>
      <c r="K5" s="13"/>
      <c r="L5" s="130"/>
      <c r="M5" s="130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 ht="15" customHeight="1" x14ac:dyDescent="0.15">
      <c r="B6" s="188" t="s">
        <v>34</v>
      </c>
      <c r="C6" s="229" t="b">
        <v>0</v>
      </c>
      <c r="D6" s="229"/>
      <c r="E6" s="140" t="str">
        <f>IF(AND(OR(C4="Новостройка с господдержкой 2020",C4="Семейная ипотека",C4="Семейная ипотека ДФО",C4="Дальневосточная ипотека",C4="Рефинансирование по Семейной ипотеке",C4="Ипотека для IT-специалистов"),C6),"Услуга недоступна в кредит, необходимо снять галочку","")</f>
        <v/>
      </c>
      <c r="F6" s="140"/>
      <c r="G6" s="13"/>
      <c r="H6" s="13"/>
      <c r="I6" s="13"/>
      <c r="J6" s="13"/>
      <c r="K6" s="13"/>
      <c r="L6" s="130"/>
      <c r="M6" s="130"/>
      <c r="N6" s="130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5" ht="15" customHeight="1" x14ac:dyDescent="0.15">
      <c r="B7" s="188" t="s">
        <v>45</v>
      </c>
      <c r="C7" s="229" t="b">
        <v>0</v>
      </c>
      <c r="D7" s="229"/>
      <c r="E7" s="140" t="str">
        <f>IF(AND(OR(C4="Рефинансирование по Семейной ипотеке"),C7),"Выгодная ипотека с Халвой не применима","")</f>
        <v/>
      </c>
      <c r="F7" s="13"/>
      <c r="G7" s="13"/>
      <c r="H7" s="13"/>
      <c r="I7" s="13"/>
      <c r="J7" s="13"/>
      <c r="K7" s="13"/>
      <c r="L7" s="130"/>
      <c r="M7" s="130"/>
      <c r="N7" s="130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1:25" ht="15" customHeight="1" x14ac:dyDescent="0.15">
      <c r="B8" s="189" t="s">
        <v>97</v>
      </c>
      <c r="C8" s="231">
        <v>5.0000000000000001E-3</v>
      </c>
      <c r="D8" s="231"/>
      <c r="E8" s="140"/>
      <c r="F8" s="13"/>
      <c r="G8" s="13"/>
      <c r="H8" s="13"/>
      <c r="I8" s="13"/>
      <c r="J8" s="13"/>
      <c r="K8" s="13"/>
      <c r="L8" s="130"/>
      <c r="M8" s="130"/>
      <c r="N8" s="130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1:25" ht="15" customHeight="1" x14ac:dyDescent="0.15">
      <c r="B9" s="13" t="s">
        <v>33</v>
      </c>
      <c r="C9" s="155" t="b">
        <v>1</v>
      </c>
      <c r="E9" s="13"/>
      <c r="F9" s="13"/>
      <c r="G9" s="13"/>
      <c r="H9" s="13"/>
      <c r="I9" s="13"/>
      <c r="J9" s="13"/>
      <c r="K9" s="13"/>
      <c r="L9" s="130"/>
      <c r="M9" s="130"/>
      <c r="N9" s="130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1:25" s="119" customFormat="1" ht="15" customHeight="1" x14ac:dyDescent="0.15">
      <c r="A10" s="13"/>
      <c r="B10" s="13" t="s">
        <v>62</v>
      </c>
      <c r="C10" s="230" t="b">
        <v>0</v>
      </c>
      <c r="D10" s="23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9" customFormat="1" ht="15" customHeight="1" x14ac:dyDescent="0.15">
      <c r="A11" s="13">
        <f>MATCH($C$4,тарифы!$A$2:$A$1502,0)</f>
        <v>1</v>
      </c>
      <c r="B11" s="151" t="s">
        <v>65</v>
      </c>
      <c r="C11" s="230" t="b">
        <v>1</v>
      </c>
      <c r="D11" s="230"/>
      <c r="E11" s="140" t="str">
        <f>IF(C11,"Сумма кредита от 8 млн Мск/МО, 4 млн СПБ/ЛО, 3 млн прочие","")</f>
        <v>Сумма кредита от 8 млн Мск/МО, 4 млн СПБ/ЛО, 3 млн прочие</v>
      </c>
      <c r="F11" s="13"/>
      <c r="G11" s="13"/>
      <c r="H11" s="13"/>
      <c r="I11" s="13"/>
      <c r="J11" s="13"/>
      <c r="K11" s="13"/>
      <c r="L11" s="13"/>
      <c r="M11" s="13"/>
      <c r="N11" s="13"/>
    </row>
    <row r="12" spans="1:25" s="19" customFormat="1" x14ac:dyDescent="0.15">
      <c r="A12" s="13">
        <f ca="1">MATCH(C5,OFFSET(тарифы!$A$1,A11,1,COUNTIF(тарифы!$A$2:$A$1502,C4),1),0)</f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25" s="19" customFormat="1" x14ac:dyDescent="0.15">
      <c r="A13" s="13">
        <f ca="1">MATCH(C9,OFFSET(тарифы!$A$1,A11,7,COUNTIF(тарифы!$A$2:$A$502,C4),1),0)</f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25" s="158" customFormat="1" ht="28.5" customHeight="1" x14ac:dyDescent="0.15">
      <c r="A14" s="156">
        <f>COUNTIFS(тарифы!$A:$A,C4,тарифы!B:B,C5,тарифы!H:H,C9)</f>
        <v>1</v>
      </c>
      <c r="B14" s="186" t="s">
        <v>109</v>
      </c>
      <c r="C14" s="186" t="s">
        <v>41</v>
      </c>
      <c r="D14" s="186" t="s">
        <v>99</v>
      </c>
      <c r="E14" s="186" t="s">
        <v>100</v>
      </c>
      <c r="F14" s="186" t="s">
        <v>108</v>
      </c>
      <c r="G14" s="186" t="s">
        <v>101</v>
      </c>
      <c r="H14" s="186" t="s">
        <v>102</v>
      </c>
      <c r="I14" s="157"/>
      <c r="J14" s="157"/>
    </row>
    <row r="15" spans="1:25" ht="18" customHeight="1" x14ac:dyDescent="0.15">
      <c r="A15" s="150">
        <f ca="1">OFFSET(тарифы!$A$1,A11+A12-1,3,A14,1)</f>
        <v>0.85</v>
      </c>
      <c r="B15" s="223">
        <v>10000000</v>
      </c>
      <c r="C15" s="223">
        <v>360</v>
      </c>
      <c r="D15" s="62">
        <f ca="1">IF(AND(OFFSET(тарифы!$AB$1,MATCH($C$4,тарифы!$AB$2:$AB$55,0)+COUNTIF(тарифы!$AB$2:$AB$55,$C$4)-1,1,1,1)&gt;=15%,OR($C$4="Новостройка",$C$4="Вторичка",$C$4="Рефинансирование")),"",OFFSET(тарифы!$AB$1,MATCH($C$4,тарифы!$AB$2:$AB$55,0)+COUNTIF(тарифы!$AB$2:$AB$55,$C$4)-1,1,1,1))</f>
        <v>0</v>
      </c>
      <c r="E15" s="10">
        <f ca="1">IFERROR(IF($C$6,($B$15)/(1-D15)-($B$15),$B$15*D15),"")</f>
        <v>0</v>
      </c>
      <c r="F15" s="11">
        <f ca="1">IFERROR($F$20+IFERROR(OFFSET(тарифы!$AB$1,MATCH(D15,OFFSET(тарифы!$AB$1,MATCH($C$4,тарифы!$AB$2:$AB$55,0),1,COUNTIF(тарифы!$AB$2:$AB$55,$C$4),1),0)-1+MATCH($C$4,тарифы!$AB$2:$AB$55,0),2,1,1),"выберите " &amp; CHAR(10) &amp; "корректную ставку"),"")</f>
        <v>0.1749</v>
      </c>
      <c r="G15" s="64">
        <f ca="1">IFERROR(-PMT(F15/12,$C$15,($B$15+IF($C$6,E15,0)),,0),"")</f>
        <v>146551.11099907561</v>
      </c>
      <c r="H15" s="10">
        <f t="shared" ref="H15:H20" ca="1" si="0">IFERROR(CUMIPMT(F15/12,$C$15,($B$15+IF($C$6,E15,0)),1,$C$15,0)-CUMIPMT($F$20/12,$C$15,($B$15),1,$C$15,0)-E15,"")</f>
        <v>0</v>
      </c>
    </row>
    <row r="16" spans="1:25" ht="18" customHeight="1" x14ac:dyDescent="0.15">
      <c r="A16" s="150"/>
      <c r="B16" s="224"/>
      <c r="C16" s="224"/>
      <c r="D16" s="70">
        <f ca="1">IF(AND(OFFSET(тарифы!$AB$1,MATCH($C$4,тарифы!$AB$2:$AB$55,0)+COUNTIF(тарифы!$AB$2:$AB$55,$C$4)-2,1,1,1)&gt;=20%,OR($C$4="Новостройка",$C$4="Вторичка",$C$4="Рефинансирование")),"",OFFSET(тарифы!$AB$1,MATCH($C$4,тарифы!$AB$2:$AB$55,0)+COUNTIF(тарифы!$AB$2:$AB$55,$C$4)-2,1,1,1))</f>
        <v>0.17</v>
      </c>
      <c r="E16" s="63">
        <f t="shared" ref="E16:E19" ca="1" si="1">IFERROR(IF($C$6,($B$15)/(1-D16)-($B$15),$B$15*D16),"")</f>
        <v>1700000.0000000002</v>
      </c>
      <c r="F16" s="12">
        <f ca="1">IFERROR($F$20+IFERROR(OFFSET(тарифы!$AB$1,MATCH(D16,OFFSET(тарифы!$AB$1,MATCH($C$4,тарифы!$AB$2:$AB$55,0),1,COUNTIF(тарифы!$AB$2:$AB$55,$C$4),1),0)-1+MATCH($C$4,тарифы!$AB$2:$AB$55,0),2,1,1),"выберите " &amp; CHAR(10) &amp; "корректную ставку"),"")</f>
        <v>0.1099</v>
      </c>
      <c r="G16" s="64">
        <f ca="1">IFERROR(-PMT(F16/12,$C$15,($B$15+IF($C$6,E16,0)),,0),"")</f>
        <v>95156.784554118625</v>
      </c>
      <c r="H16" s="63">
        <f t="shared" ca="1" si="0"/>
        <v>16801957.520184517</v>
      </c>
    </row>
    <row r="17" spans="2:9" ht="18" customHeight="1" x14ac:dyDescent="0.15">
      <c r="B17" s="225"/>
      <c r="C17" s="225"/>
      <c r="D17" s="62">
        <f ca="1">IF(AND(OFFSET(тарифы!$AB$1,MATCH($C$4,тарифы!$AB$2:$AB$55,0)+COUNTIF(тарифы!$AB$2:$AB$55,$C$4)-3,1,1,1)&gt;=20%,OR($C$4="Новостройка",$C$4="Вторичка",$C$4="Рефинансирование")),"",OFFSET(тарифы!$AB$1,MATCH($C$4,тарифы!$AB$2:$AB$55,0)+COUNTIF(тарифы!$AB$2:$AB$55,$C$4)-3,1,1,1))</f>
        <v>0.11</v>
      </c>
      <c r="E17" s="10">
        <f t="shared" ca="1" si="1"/>
        <v>1100000</v>
      </c>
      <c r="F17" s="12">
        <f ca="1">IFERROR($F$20+IFERROR(OFFSET(тарифы!$AB$1,MATCH(D17,OFFSET(тарифы!$AB$1,MATCH($C$4,тарифы!$AB$2:$AB$55,0),1,COUNTIF(тарифы!$AB$2:$AB$55,$C$4),1),0)-1+MATCH($C$4,тарифы!$AB$2:$AB$55,0),2,1,1),"выберите " &amp; CHAR(10) &amp; "корректную ставку"),"")</f>
        <v>0.12990000000000002</v>
      </c>
      <c r="G17" s="64">
        <f t="shared" ref="G17:G19" ca="1" si="2">IFERROR(-PMT(F17/12,$C$15,($B$15+IF($C$6,E17,0)),,0),"")</f>
        <v>110541.79465246534</v>
      </c>
      <c r="H17" s="10">
        <f t="shared" ca="1" si="0"/>
        <v>11863353.884779699</v>
      </c>
    </row>
    <row r="18" spans="2:9" ht="18" customHeight="1" x14ac:dyDescent="0.15">
      <c r="B18" s="225"/>
      <c r="C18" s="225"/>
      <c r="D18" s="62">
        <f ca="1">IF(AND(OFFSET(тарифы!$AB$1,MATCH($C$4,тарифы!$AB$2:$AB$55,0)+COUNTIF(тарифы!$AB$2:$AB$55,$C$4)-4,1,1,1)&gt;=20%,OR($C$4="Новостройка",$C$4="Вторичка",$C$4="Рефинансирование")),"",OFFSET(тарифы!$AB$1,MATCH($C$4,тарифы!$AB$2:$AB$55,0)+COUNTIF(тарифы!$AB$2:$AB$55,$C$4)-4,1,1,1))</f>
        <v>7.0000000000000007E-2</v>
      </c>
      <c r="E18" s="10">
        <f t="shared" ca="1" si="1"/>
        <v>700000.00000000012</v>
      </c>
      <c r="F18" s="12">
        <f ca="1">IFERROR($F$20+IFERROR(OFFSET(тарифы!$AB$1,MATCH(D18,OFFSET(тарифы!$AB$1,MATCH($C$4,тарифы!$AB$2:$AB$55,0),1,COUNTIF(тарифы!$AB$2:$AB$55,$C$4),1),0)-1+MATCH($C$4,тарифы!$AB$2:$AB$55,0),2,1,1),"выберите " &amp; CHAR(10) &amp; "корректную ставку"),"")</f>
        <v>0.14749999999999999</v>
      </c>
      <c r="G18" s="64">
        <f t="shared" ca="1" si="2"/>
        <v>124447.57158719464</v>
      </c>
      <c r="H18" s="10">
        <f t="shared" ca="1" si="0"/>
        <v>7257274.1882771477</v>
      </c>
    </row>
    <row r="19" spans="2:9" ht="18" customHeight="1" x14ac:dyDescent="0.15">
      <c r="B19" s="225"/>
      <c r="C19" s="225"/>
      <c r="D19" s="62">
        <f ca="1">IF(AND(OFFSET(тарифы!$AB$1,MATCH($C$4,тарифы!$AB$2:$AB$55,0)+COUNTIF(тарифы!$AB$2:$AB$55,$C$4)-5,1,1,1)&gt;=20%,OR($C$4="Новостройка",$C$4="Вторичка",$C$4="Рефинансирование")),"",OFFSET(тарифы!$AB$1,MATCH($C$4,тарифы!$AB$2:$AB$55,0)+COUNTIF(тарифы!$AB$2:$AB$55,$C$4)-5,1,1,1))</f>
        <v>0.05</v>
      </c>
      <c r="E19" s="10">
        <f t="shared" ca="1" si="1"/>
        <v>500000</v>
      </c>
      <c r="F19" s="12">
        <f ca="1">IFERROR($F$20+IFERROR(OFFSET(тарифы!$AB$1,MATCH(D19,OFFSET(тарифы!$AB$1,MATCH($C$4,тарифы!$AB$2:$AB$55,0),1,COUNTIF(тарифы!$AB$2:$AB$55,$C$4),1),0)-1+MATCH($C$4,тарифы!$AB$2:$AB$55,0),2,1,1),"выберите " &amp; CHAR(10) &amp; "корректную ставку"),"")</f>
        <v>0.15490000000000001</v>
      </c>
      <c r="G19" s="64">
        <f t="shared" ca="1" si="2"/>
        <v>130371.37632035506</v>
      </c>
      <c r="H19" s="10">
        <f t="shared" ca="1" si="0"/>
        <v>5324704.4843394011</v>
      </c>
    </row>
    <row r="20" spans="2:9" ht="18" customHeight="1" x14ac:dyDescent="0.15">
      <c r="B20" s="226"/>
      <c r="C20" s="226"/>
      <c r="D20" s="62">
        <f ca="1">OFFSET(тарифы!$AB$1,MATCH($C$4,тарифы!$AB$2:$AB$55,0)+COUNTIF(тарифы!$AB$2:$AB$55,$C$4)-6,1,1,1)</f>
        <v>0</v>
      </c>
      <c r="E20" s="10">
        <f ca="1">IF($C$6,($B$15)/(1-D20)-($B$15),$B$15*D20)</f>
        <v>0</v>
      </c>
      <c r="F20" s="11">
        <f ca="1">INDEX(тарифы!$A$2:$P$1502,A11+A12+1-2,6)+IF($C$7,0,INDEX(тарифы!$A$2:$P$1502,A11+A12+1-2,7))+IF($C$9,INDEX(тарифы!$A$2:$P$15002,A11+A12+1-2,8),0)+OFFSET(тарифы!$A$1,A11+A12+A13-2,8,A14,1)+IF($C$11,INDEX(тарифы!$A$2:$P$15002,A11+A12+1-2,14),0)+IF(AND($C$11,NOT($C$7)),INDEX(тарифы!$A$2:$P$15002,A11+A12+1-2,15),0)+IF($C$10,INDEX(тарифы!$A$2:$P$15002,A11+A12+1-2,16),0)+
VLOOKUP(C8,тарифы!AU2:AV3,2,FALSE)</f>
        <v>0.1749</v>
      </c>
      <c r="G20" s="64">
        <f ca="1">-PMT(F20/12,$C$15,($B$15+IF($C$6,E20,0)),,0)</f>
        <v>146551.11099907561</v>
      </c>
      <c r="H20" s="10">
        <f t="shared" ca="1" si="0"/>
        <v>0</v>
      </c>
    </row>
    <row r="21" spans="2:9" x14ac:dyDescent="0.15">
      <c r="B21" s="149" t="str">
        <f ca="1">IFERROR(IF(B15&gt;OFFSET(тарифы!$A$1,A11+A12+A13-2,10,A14,1),CONCATENATE("Макc сумма ",TEXT(OFFSET(тарифы!$A$1,A11+A12+A13-2,10,A14,1)/1000000,"0")," млн"),IF(B15&lt;OFFSET(тарифы!$A$1,A11+A12+A13-2,11,A14,1),CONCATENATE("Мин сумма ",TEXT(OFFSET(тарифы!$A$1,A11+A12+A13-2,11,A14,1)/1000,"0")," тыс"),"")),"Неверный тип залога")</f>
        <v/>
      </c>
      <c r="C21" s="149" t="str">
        <f ca="1">IFERROR(IF(C15/12&lt;OFFSET(тарифы!$A$1,A11+A12+A13-2,12,A14,1),CONCATENATE("Мин срок от ",TEXT(OFFSET(тарифы!$A$1,A11+A12+A13-2,12,A14,1),"0")," лет"),""),"Ошибка")</f>
        <v/>
      </c>
      <c r="I21" s="152"/>
    </row>
    <row r="22" spans="2:9" x14ac:dyDescent="0.15">
      <c r="B22" s="119"/>
      <c r="C22" s="119"/>
      <c r="E22" s="152"/>
      <c r="F22" s="152"/>
      <c r="G22" s="152"/>
      <c r="H22" s="152"/>
      <c r="I22" s="152"/>
    </row>
    <row r="23" spans="2:9" x14ac:dyDescent="0.15">
      <c r="B23" s="119"/>
      <c r="C23" s="119"/>
      <c r="F23" s="152"/>
      <c r="G23" s="152"/>
      <c r="H23" s="152"/>
      <c r="I23" s="152"/>
    </row>
    <row r="24" spans="2:9" x14ac:dyDescent="0.15">
      <c r="B24" s="119"/>
      <c r="C24" s="119"/>
      <c r="F24" s="152"/>
      <c r="G24" s="152"/>
      <c r="I24" s="152"/>
    </row>
    <row r="25" spans="2:9" x14ac:dyDescent="0.15">
      <c r="B25" s="119"/>
      <c r="C25" s="119"/>
      <c r="I25" s="152"/>
    </row>
    <row r="26" spans="2:9" x14ac:dyDescent="0.15">
      <c r="B26" s="119"/>
      <c r="C26" s="119"/>
    </row>
    <row r="27" spans="2:9" x14ac:dyDescent="0.15">
      <c r="B27" s="119"/>
      <c r="C27" s="119"/>
    </row>
    <row r="28" spans="2:9" x14ac:dyDescent="0.15">
      <c r="B28" s="119"/>
      <c r="C28" s="119"/>
    </row>
    <row r="29" spans="2:9" x14ac:dyDescent="0.15">
      <c r="B29" s="119"/>
      <c r="C29" s="119"/>
    </row>
    <row r="30" spans="2:9" x14ac:dyDescent="0.15">
      <c r="B30" s="119"/>
      <c r="C30" s="119"/>
    </row>
    <row r="31" spans="2:9" x14ac:dyDescent="0.15">
      <c r="B31" s="119"/>
      <c r="C31" s="119"/>
    </row>
    <row r="32" spans="2:9" x14ac:dyDescent="0.15">
      <c r="B32" s="119"/>
      <c r="C32" s="119"/>
    </row>
    <row r="33" spans="2:3" x14ac:dyDescent="0.15">
      <c r="B33" s="119"/>
      <c r="C33" s="119"/>
    </row>
  </sheetData>
  <protectedRanges>
    <protectedRange sqref="B15:C20" name="Диапазон2"/>
    <protectedRange sqref="C4:C11" name="Диапазон1"/>
  </protectedRanges>
  <mergeCells count="9">
    <mergeCell ref="B15:B20"/>
    <mergeCell ref="C15:C20"/>
    <mergeCell ref="C4:D4"/>
    <mergeCell ref="C5:D5"/>
    <mergeCell ref="C6:D6"/>
    <mergeCell ref="C7:D7"/>
    <mergeCell ref="C10:D10"/>
    <mergeCell ref="C11:D11"/>
    <mergeCell ref="C8:D8"/>
  </mergeCells>
  <conditionalFormatting sqref="D15:H15 E16:H19">
    <cfRule type="expression" dxfId="4" priority="10">
      <formula>AND($D15=0%,$E15=0,$H15=0)</formula>
    </cfRule>
  </conditionalFormatting>
  <conditionalFormatting sqref="D16:D19">
    <cfRule type="expression" dxfId="3" priority="5">
      <formula>AND($D16=0%,$E16=0,$H16=0)</formula>
    </cfRule>
  </conditionalFormatting>
  <conditionalFormatting sqref="B7:D7 B8:C8">
    <cfRule type="expression" dxfId="2" priority="3">
      <formula>$I$4=TRUE</formula>
    </cfRule>
  </conditionalFormatting>
  <conditionalFormatting sqref="B10:D10">
    <cfRule type="expression" dxfId="1" priority="2">
      <formula>$I$4=TRUE</formula>
    </cfRule>
  </conditionalFormatting>
  <conditionalFormatting sqref="B8:D8">
    <cfRule type="expression" dxfId="0" priority="1">
      <formula>$I$4</formula>
    </cfRule>
  </conditionalFormatting>
  <dataValidations count="1">
    <dataValidation type="list" allowBlank="1" showInputMessage="1" showErrorMessage="1" sqref="C4:D4">
      <formula1>"Новостройка,Вторичка,Рефинансирование"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locked="0" defaultSize="0" autoFill="0" autoLine="0" autoPict="0">
                <anchor moveWithCells="1">
                  <from>
                    <xdr:col>2</xdr:col>
                    <xdr:colOff>1123950</xdr:colOff>
                    <xdr:row>6</xdr:row>
                    <xdr:rowOff>9525</xdr:rowOff>
                  </from>
                  <to>
                    <xdr:col>3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5" name="Check Box 23">
              <controlPr defaultSize="0" autoFill="0" autoLine="0" autoPict="0">
                <anchor moveWithCells="1">
                  <from>
                    <xdr:col>2</xdr:col>
                    <xdr:colOff>1123950</xdr:colOff>
                    <xdr:row>5</xdr:row>
                    <xdr:rowOff>19050</xdr:rowOff>
                  </from>
                  <to>
                    <xdr:col>3</xdr:col>
                    <xdr:colOff>76200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6" name="Check Box 31">
              <controlPr locked="0" defaultSize="0" autoFill="0" autoLine="0" autoPict="0" altText="_x000a_">
                <anchor moveWithCells="1">
                  <from>
                    <xdr:col>0</xdr:col>
                    <xdr:colOff>19050</xdr:colOff>
                    <xdr:row>7</xdr:row>
                    <xdr:rowOff>152400</xdr:rowOff>
                  </from>
                  <to>
                    <xdr:col>0</xdr:col>
                    <xdr:colOff>66675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7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9</xdr:row>
                    <xdr:rowOff>9525</xdr:rowOff>
                  </from>
                  <to>
                    <xdr:col>0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OFFSET(тарифы!$R$1,MATCH($C$4,тарифы!$R$2:$R$18,0),1,COUNTIF(тарифы!$R$2:$R$18,$C$4),1)</xm:f>
          </x14:formula1>
          <xm:sqref>C5</xm:sqref>
        </x14:dataValidation>
        <x14:dataValidation type="list" allowBlank="1" showInputMessage="1" showErrorMessage="1">
          <x14:formula1>
            <xm:f>тарифы!$AU$2:$AU$3</xm:f>
          </x14:formula1>
          <xm:sqref>C8:D8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</vt:lpstr>
      <vt:lpstr>данные</vt:lpstr>
      <vt:lpstr>Калькулятор</vt:lpstr>
      <vt:lpstr>Снижение ставки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 Дмитрий Александрович</dc:creator>
  <cp:lastModifiedBy>Фатюшина Юлия Викторовна</cp:lastModifiedBy>
  <cp:lastPrinted>2024-04-24T05:55:17Z</cp:lastPrinted>
  <dcterms:created xsi:type="dcterms:W3CDTF">2021-12-21T20:04:45Z</dcterms:created>
  <dcterms:modified xsi:type="dcterms:W3CDTF">2024-04-26T08:29:44Z</dcterms:modified>
</cp:coreProperties>
</file>